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en.sanhueza\Desktop\DBCD\Distribuidoras\40_Cargos_tarifarios\2024\10 Octubre\Def\"/>
    </mc:Choice>
  </mc:AlternateContent>
  <xr:revisionPtr revIDLastSave="0" documentId="13_ncr:1_{E80596B9-9EE1-4370-8B8D-B368FE32BC59}" xr6:coauthVersionLast="47" xr6:coauthVersionMax="47" xr10:uidLastSave="{00000000-0000-0000-0000-000000000000}"/>
  <bookViews>
    <workbookView xWindow="-120" yWindow="-120" windowWidth="29040" windowHeight="15840" xr2:uid="{60DBFBE1-24BD-4B25-8519-48BE79ED5DF0}"/>
  </bookViews>
  <sheets>
    <sheet name="Pagos" sheetId="1" r:id="rId1"/>
    <sheet name="MFETR" sheetId="2" r:id="rId2"/>
    <sheet name="EMPRESAS" sheetId="3" r:id="rId3"/>
    <sheet name="CPETR" sheetId="4" r:id="rId4"/>
    <sheet name="Entrada CUSSR" sheetId="5" r:id="rId5"/>
    <sheet name="Reliquidación CUSSR" sheetId="17" r:id="rId6"/>
    <sheet name="CUADRO DE PAGO CUSSR" sheetId="18" r:id="rId7"/>
  </sheets>
  <externalReferences>
    <externalReference r:id="rId8"/>
  </externalReferences>
  <definedNames>
    <definedName name="_xlnm._FilterDatabase" localSheetId="6" hidden="1">'CUADRO DE PAGO CUSSR'!$F$6:$G$35</definedName>
    <definedName name="_xlnm._FilterDatabase" localSheetId="4" hidden="1">'Entrada CUSSR'!$F$7:$H$46</definedName>
    <definedName name="_xlnm._FilterDatabase" localSheetId="0" hidden="1">Pagos!$B$6:$U$41</definedName>
    <definedName name="_xlnm._FilterDatabase" localSheetId="5" hidden="1">'Reliquidación CUSSR'!$I$8:$I$46</definedName>
    <definedName name="_xlcn.WorksheetConnection_Resumen_ETR_200119022001_def.xlsxRUT" hidden="1">[1]!RUT[#Data]</definedName>
    <definedName name="_xlnm.Print_Area" localSheetId="0">Pagos!$B$47:$M$70</definedName>
    <definedName name="CPETR">Pagos!$B$51:$K$69</definedName>
    <definedName name="DirectorioEntrada" localSheetId="4">'Entrada CUSSR'!$G$3</definedName>
    <definedName name="DirectorioEntrada">MFETR!$X$3</definedName>
    <definedName name="FechaFacturacion" localSheetId="4">'Entrada CUSSR'!$B$3</definedName>
    <definedName name="FechaFacturacion">MFETR!$S$3</definedName>
    <definedName name="Responsable" localSheetId="4">'Entrada CUSSR'!$G$4</definedName>
    <definedName name="version" localSheetId="4">'Entrada CUSSR'!$G$2</definedName>
    <definedName name="version">MFETR!$X$2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EE-126fc77f-0cc2-4517-8ab9-0caf9c248820" name="TEE" connection="Consulta - TEE"/>
          <x15:modelTable id="RUT-1fce75b2-d4c1-4be0-bca6-4e8148158b22" name="RUT" connection="WorksheetConnection_Resumen_ETR_2001 (1902-2001)_def.xlsx!RU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7" l="1"/>
  <c r="C9" i="17"/>
  <c r="D9" i="17"/>
  <c r="E9" i="17"/>
  <c r="C10" i="17"/>
  <c r="D10" i="17"/>
  <c r="E10" i="17"/>
  <c r="C11" i="17"/>
  <c r="D11" i="17"/>
  <c r="E11" i="17"/>
  <c r="C12" i="17"/>
  <c r="D12" i="17"/>
  <c r="E12" i="17"/>
  <c r="C13" i="17"/>
  <c r="D13" i="17"/>
  <c r="E13" i="17"/>
  <c r="C14" i="17"/>
  <c r="D14" i="17"/>
  <c r="E14" i="17"/>
  <c r="C15" i="17"/>
  <c r="D15" i="17"/>
  <c r="E15" i="17"/>
  <c r="C16" i="17"/>
  <c r="D16" i="17"/>
  <c r="E16" i="17"/>
  <c r="C17" i="17"/>
  <c r="D17" i="17"/>
  <c r="E17" i="17"/>
  <c r="C18" i="17"/>
  <c r="D18" i="17"/>
  <c r="E18" i="17"/>
  <c r="C19" i="17"/>
  <c r="D19" i="17"/>
  <c r="E19" i="17"/>
  <c r="C20" i="17"/>
  <c r="D20" i="17"/>
  <c r="E20" i="17"/>
  <c r="C21" i="17"/>
  <c r="D21" i="17"/>
  <c r="E21" i="17"/>
  <c r="C22" i="17"/>
  <c r="D22" i="17"/>
  <c r="E22" i="17"/>
  <c r="C23" i="17"/>
  <c r="D23" i="17"/>
  <c r="E23" i="17"/>
  <c r="C24" i="17"/>
  <c r="D24" i="17"/>
  <c r="E24" i="17"/>
  <c r="C25" i="17"/>
  <c r="C46" i="17" s="1"/>
  <c r="D25" i="17"/>
  <c r="E25" i="17"/>
  <c r="C26" i="17"/>
  <c r="D26" i="17"/>
  <c r="E26" i="17"/>
  <c r="C27" i="17"/>
  <c r="D27" i="17"/>
  <c r="E27" i="17"/>
  <c r="C28" i="17"/>
  <c r="D28" i="17"/>
  <c r="E28" i="17"/>
  <c r="C29" i="17"/>
  <c r="D29" i="17"/>
  <c r="E29" i="17"/>
  <c r="C30" i="17"/>
  <c r="D30" i="17"/>
  <c r="E30" i="17"/>
  <c r="C31" i="17"/>
  <c r="D31" i="17"/>
  <c r="E31" i="17"/>
  <c r="C32" i="17"/>
  <c r="D32" i="17"/>
  <c r="E32" i="17"/>
  <c r="C33" i="17"/>
  <c r="D33" i="17"/>
  <c r="E33" i="17"/>
  <c r="C34" i="17"/>
  <c r="D34" i="17"/>
  <c r="E34" i="17"/>
  <c r="C35" i="17"/>
  <c r="D35" i="17"/>
  <c r="E35" i="17"/>
  <c r="C36" i="17"/>
  <c r="D36" i="17"/>
  <c r="E36" i="17"/>
  <c r="C37" i="17"/>
  <c r="D37" i="17"/>
  <c r="E37" i="17"/>
  <c r="C38" i="17"/>
  <c r="D38" i="17"/>
  <c r="E38" i="17"/>
  <c r="C39" i="17"/>
  <c r="D39" i="17"/>
  <c r="E39" i="17"/>
  <c r="C40" i="17"/>
  <c r="D40" i="17"/>
  <c r="E40" i="17"/>
  <c r="C41" i="17"/>
  <c r="D41" i="17"/>
  <c r="E41" i="17"/>
  <c r="C42" i="17"/>
  <c r="D42" i="17"/>
  <c r="E42" i="17"/>
  <c r="C43" i="17"/>
  <c r="D43" i="17"/>
  <c r="E43" i="17"/>
  <c r="G43" i="17"/>
  <c r="C44" i="17"/>
  <c r="D44" i="17"/>
  <c r="E44" i="17"/>
  <c r="C45" i="17"/>
  <c r="D45" i="17"/>
  <c r="E45" i="17"/>
  <c r="D46" i="17"/>
  <c r="F46" i="17"/>
  <c r="G9" i="17" s="1"/>
  <c r="F46" i="5"/>
  <c r="G46" i="5"/>
  <c r="H46" i="5"/>
  <c r="I45" i="17" l="1"/>
  <c r="C44" i="18" s="1"/>
  <c r="G34" i="18" s="1"/>
  <c r="I25" i="17"/>
  <c r="C24" i="18" s="1"/>
  <c r="G17" i="18" s="1"/>
  <c r="I43" i="17"/>
  <c r="C42" i="18" s="1"/>
  <c r="G32" i="18" s="1"/>
  <c r="I35" i="17"/>
  <c r="C34" i="18" s="1"/>
  <c r="G27" i="18" s="1"/>
  <c r="I33" i="17"/>
  <c r="C32" i="18" s="1"/>
  <c r="G25" i="18" s="1"/>
  <c r="I22" i="17"/>
  <c r="C21" i="18" s="1"/>
  <c r="G14" i="18" s="1"/>
  <c r="H9" i="17"/>
  <c r="I9" i="17" s="1"/>
  <c r="E46" i="17"/>
  <c r="H43" i="17" s="1"/>
  <c r="I19" i="17"/>
  <c r="C18" i="18" s="1"/>
  <c r="I42" i="17"/>
  <c r="C41" i="18" s="1"/>
  <c r="G31" i="18" s="1"/>
  <c r="I38" i="17"/>
  <c r="C37" i="18" s="1"/>
  <c r="I36" i="17"/>
  <c r="C35" i="18" s="1"/>
  <c r="G28" i="18" s="1"/>
  <c r="I28" i="17"/>
  <c r="C27" i="18" s="1"/>
  <c r="G20" i="18" s="1"/>
  <c r="I16" i="17"/>
  <c r="C15" i="18" s="1"/>
  <c r="I13" i="17"/>
  <c r="C12" i="18" s="1"/>
  <c r="G42" i="17"/>
  <c r="H42" i="17" s="1"/>
  <c r="G38" i="17"/>
  <c r="H38" i="17" s="1"/>
  <c r="G34" i="17"/>
  <c r="H34" i="17" s="1"/>
  <c r="I34" i="17" s="1"/>
  <c r="C33" i="18" s="1"/>
  <c r="G26" i="18" s="1"/>
  <c r="G30" i="17"/>
  <c r="H30" i="17" s="1"/>
  <c r="I30" i="17" s="1"/>
  <c r="C29" i="18" s="1"/>
  <c r="G22" i="18" s="1"/>
  <c r="G26" i="17"/>
  <c r="H26" i="17" s="1"/>
  <c r="I26" i="17" s="1"/>
  <c r="C25" i="18" s="1"/>
  <c r="G18" i="18" s="1"/>
  <c r="G22" i="17"/>
  <c r="H22" i="17" s="1"/>
  <c r="G18" i="17"/>
  <c r="H18" i="17" s="1"/>
  <c r="I18" i="17" s="1"/>
  <c r="C17" i="18" s="1"/>
  <c r="G13" i="18" s="1"/>
  <c r="G14" i="17"/>
  <c r="H14" i="17" s="1"/>
  <c r="I14" i="17" s="1"/>
  <c r="C13" i="18" s="1"/>
  <c r="G10" i="17"/>
  <c r="H10" i="17" s="1"/>
  <c r="I10" i="17" s="1"/>
  <c r="C9" i="18" s="1"/>
  <c r="G9" i="18" s="1"/>
  <c r="G39" i="17"/>
  <c r="H39" i="17" s="1"/>
  <c r="I39" i="17" s="1"/>
  <c r="C38" i="18" s="1"/>
  <c r="G35" i="17"/>
  <c r="H35" i="17" s="1"/>
  <c r="G31" i="17"/>
  <c r="H31" i="17" s="1"/>
  <c r="I31" i="17" s="1"/>
  <c r="C30" i="18" s="1"/>
  <c r="G23" i="18" s="1"/>
  <c r="G27" i="17"/>
  <c r="H27" i="17" s="1"/>
  <c r="I27" i="17" s="1"/>
  <c r="C26" i="18" s="1"/>
  <c r="G19" i="18" s="1"/>
  <c r="G23" i="17"/>
  <c r="H23" i="17" s="1"/>
  <c r="I23" i="17" s="1"/>
  <c r="C22" i="18" s="1"/>
  <c r="G15" i="18" s="1"/>
  <c r="G19" i="17"/>
  <c r="H19" i="17" s="1"/>
  <c r="G15" i="17"/>
  <c r="H15" i="17" s="1"/>
  <c r="I15" i="17" s="1"/>
  <c r="C14" i="18" s="1"/>
  <c r="G11" i="17"/>
  <c r="H11" i="17" s="1"/>
  <c r="I11" i="17" s="1"/>
  <c r="C10" i="18" s="1"/>
  <c r="G10" i="18" s="1"/>
  <c r="G44" i="17"/>
  <c r="H44" i="17" s="1"/>
  <c r="I44" i="17" s="1"/>
  <c r="C43" i="18" s="1"/>
  <c r="G33" i="18" s="1"/>
  <c r="G40" i="17"/>
  <c r="H40" i="17" s="1"/>
  <c r="I40" i="17" s="1"/>
  <c r="C39" i="18" s="1"/>
  <c r="G36" i="17"/>
  <c r="H36" i="17" s="1"/>
  <c r="G32" i="17"/>
  <c r="H32" i="17" s="1"/>
  <c r="I32" i="17" s="1"/>
  <c r="C31" i="18" s="1"/>
  <c r="G24" i="18" s="1"/>
  <c r="G28" i="17"/>
  <c r="H28" i="17" s="1"/>
  <c r="G24" i="17"/>
  <c r="H24" i="17" s="1"/>
  <c r="I24" i="17" s="1"/>
  <c r="C23" i="18" s="1"/>
  <c r="G16" i="18" s="1"/>
  <c r="G20" i="17"/>
  <c r="H20" i="17" s="1"/>
  <c r="I20" i="17" s="1"/>
  <c r="C19" i="18" s="1"/>
  <c r="G16" i="17"/>
  <c r="H16" i="17" s="1"/>
  <c r="G12" i="17"/>
  <c r="H12" i="17" s="1"/>
  <c r="I12" i="17" s="1"/>
  <c r="C11" i="18" s="1"/>
  <c r="G11" i="18" s="1"/>
  <c r="G45" i="17"/>
  <c r="H45" i="17" s="1"/>
  <c r="G41" i="17"/>
  <c r="H41" i="17" s="1"/>
  <c r="I41" i="17" s="1"/>
  <c r="C40" i="18" s="1"/>
  <c r="G30" i="18" s="1"/>
  <c r="G37" i="17"/>
  <c r="H37" i="17" s="1"/>
  <c r="I37" i="17" s="1"/>
  <c r="C36" i="18" s="1"/>
  <c r="G29" i="18" s="1"/>
  <c r="G33" i="17"/>
  <c r="H33" i="17" s="1"/>
  <c r="G29" i="17"/>
  <c r="H29" i="17" s="1"/>
  <c r="I29" i="17" s="1"/>
  <c r="C28" i="18" s="1"/>
  <c r="G21" i="18" s="1"/>
  <c r="G25" i="17"/>
  <c r="H25" i="17" s="1"/>
  <c r="G21" i="17"/>
  <c r="H21" i="17" s="1"/>
  <c r="I21" i="17" s="1"/>
  <c r="C20" i="18" s="1"/>
  <c r="G17" i="17"/>
  <c r="H17" i="17" s="1"/>
  <c r="I17" i="17" s="1"/>
  <c r="C16" i="18" s="1"/>
  <c r="G13" i="17"/>
  <c r="H13" i="17" s="1"/>
  <c r="C8" i="18" l="1"/>
  <c r="I46" i="17"/>
  <c r="G12" i="18"/>
  <c r="H46" i="17"/>
  <c r="G46" i="17"/>
  <c r="B5" i="4"/>
  <c r="B4" i="4"/>
  <c r="J3" i="4"/>
  <c r="I2" i="4"/>
  <c r="I3" i="4" s="1"/>
  <c r="I1" i="4"/>
  <c r="B48" i="1"/>
  <c r="D41" i="1"/>
  <c r="C41" i="1"/>
  <c r="P40" i="1"/>
  <c r="O40" i="1"/>
  <c r="N40" i="1"/>
  <c r="M40" i="1"/>
  <c r="L40" i="1"/>
  <c r="K40" i="1"/>
  <c r="J40" i="1"/>
  <c r="I40" i="1"/>
  <c r="H40" i="1"/>
  <c r="G40" i="1"/>
  <c r="F40" i="1"/>
  <c r="E40" i="1"/>
  <c r="Q40" i="1" s="1"/>
  <c r="P39" i="1"/>
  <c r="O39" i="1"/>
  <c r="N39" i="1"/>
  <c r="M39" i="1"/>
  <c r="L39" i="1"/>
  <c r="K39" i="1"/>
  <c r="J39" i="1"/>
  <c r="I39" i="1"/>
  <c r="H39" i="1"/>
  <c r="G39" i="1"/>
  <c r="Q39" i="1" s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Q38" i="1" s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Q37" i="1" s="1"/>
  <c r="P36" i="1"/>
  <c r="O36" i="1"/>
  <c r="N36" i="1"/>
  <c r="M36" i="1"/>
  <c r="L36" i="1"/>
  <c r="K36" i="1"/>
  <c r="J36" i="1"/>
  <c r="I36" i="1"/>
  <c r="H36" i="1"/>
  <c r="G36" i="1"/>
  <c r="F36" i="1"/>
  <c r="Q36" i="1" s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Q35" i="1" s="1"/>
  <c r="P34" i="1"/>
  <c r="O34" i="1"/>
  <c r="N34" i="1"/>
  <c r="M34" i="1"/>
  <c r="L34" i="1"/>
  <c r="K34" i="1"/>
  <c r="J34" i="1"/>
  <c r="I34" i="1"/>
  <c r="H34" i="1"/>
  <c r="G34" i="1"/>
  <c r="F34" i="1"/>
  <c r="E34" i="1"/>
  <c r="Q34" i="1" s="1"/>
  <c r="P33" i="1"/>
  <c r="O33" i="1"/>
  <c r="N33" i="1"/>
  <c r="M33" i="1"/>
  <c r="L33" i="1"/>
  <c r="K33" i="1"/>
  <c r="J33" i="1"/>
  <c r="I33" i="1"/>
  <c r="Q33" i="1" s="1"/>
  <c r="H33" i="1"/>
  <c r="G33" i="1"/>
  <c r="F33" i="1"/>
  <c r="E33" i="1"/>
  <c r="P32" i="1"/>
  <c r="O32" i="1"/>
  <c r="N32" i="1"/>
  <c r="M32" i="1"/>
  <c r="L32" i="1"/>
  <c r="K32" i="1"/>
  <c r="J32" i="1"/>
  <c r="I32" i="1"/>
  <c r="H32" i="1"/>
  <c r="G32" i="1"/>
  <c r="F32" i="1"/>
  <c r="E32" i="1"/>
  <c r="Q32" i="1" s="1"/>
  <c r="P31" i="1"/>
  <c r="O31" i="1"/>
  <c r="N31" i="1"/>
  <c r="M31" i="1"/>
  <c r="L31" i="1"/>
  <c r="K31" i="1"/>
  <c r="J31" i="1"/>
  <c r="I31" i="1"/>
  <c r="H31" i="1"/>
  <c r="G31" i="1"/>
  <c r="Q31" i="1" s="1"/>
  <c r="F31" i="1"/>
  <c r="E31" i="1"/>
  <c r="P30" i="1"/>
  <c r="O30" i="1"/>
  <c r="N30" i="1"/>
  <c r="M30" i="1"/>
  <c r="L30" i="1"/>
  <c r="K30" i="1"/>
  <c r="J30" i="1"/>
  <c r="I30" i="1"/>
  <c r="H30" i="1"/>
  <c r="G30" i="1"/>
  <c r="F30" i="1"/>
  <c r="E30" i="1"/>
  <c r="Q30" i="1" s="1"/>
  <c r="P29" i="1"/>
  <c r="O29" i="1"/>
  <c r="N29" i="1"/>
  <c r="M29" i="1"/>
  <c r="L29" i="1"/>
  <c r="K29" i="1"/>
  <c r="J29" i="1"/>
  <c r="I29" i="1"/>
  <c r="H29" i="1"/>
  <c r="G29" i="1"/>
  <c r="F29" i="1"/>
  <c r="E29" i="1"/>
  <c r="Q29" i="1" s="1"/>
  <c r="P28" i="1"/>
  <c r="O28" i="1"/>
  <c r="N28" i="1"/>
  <c r="M28" i="1"/>
  <c r="L28" i="1"/>
  <c r="K28" i="1"/>
  <c r="J28" i="1"/>
  <c r="I28" i="1"/>
  <c r="H28" i="1"/>
  <c r="G28" i="1"/>
  <c r="F28" i="1"/>
  <c r="Q28" i="1" s="1"/>
  <c r="E28" i="1"/>
  <c r="P27" i="1"/>
  <c r="O27" i="1"/>
  <c r="N27" i="1"/>
  <c r="M27" i="1"/>
  <c r="L27" i="1"/>
  <c r="K27" i="1"/>
  <c r="J27" i="1"/>
  <c r="I27" i="1"/>
  <c r="H27" i="1"/>
  <c r="G27" i="1"/>
  <c r="F27" i="1"/>
  <c r="E27" i="1"/>
  <c r="Q27" i="1" s="1"/>
  <c r="P26" i="1"/>
  <c r="O26" i="1"/>
  <c r="N26" i="1"/>
  <c r="M26" i="1"/>
  <c r="L26" i="1"/>
  <c r="K26" i="1"/>
  <c r="J26" i="1"/>
  <c r="I26" i="1"/>
  <c r="H26" i="1"/>
  <c r="G26" i="1"/>
  <c r="F26" i="1"/>
  <c r="Q26" i="1" s="1"/>
  <c r="E26" i="1"/>
  <c r="P25" i="1"/>
  <c r="O25" i="1"/>
  <c r="N25" i="1"/>
  <c r="M25" i="1"/>
  <c r="L25" i="1"/>
  <c r="K25" i="1"/>
  <c r="J25" i="1"/>
  <c r="I25" i="1"/>
  <c r="Q25" i="1" s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E24" i="1"/>
  <c r="Q24" i="1" s="1"/>
  <c r="P23" i="1"/>
  <c r="O23" i="1"/>
  <c r="N23" i="1"/>
  <c r="M23" i="1"/>
  <c r="L23" i="1"/>
  <c r="K23" i="1"/>
  <c r="J23" i="1"/>
  <c r="I23" i="1"/>
  <c r="Q23" i="1" s="1"/>
  <c r="H23" i="1"/>
  <c r="G23" i="1"/>
  <c r="F23" i="1"/>
  <c r="E23" i="1"/>
  <c r="P22" i="1"/>
  <c r="O22" i="1"/>
  <c r="N22" i="1"/>
  <c r="M22" i="1"/>
  <c r="L22" i="1"/>
  <c r="K22" i="1"/>
  <c r="J22" i="1"/>
  <c r="I22" i="1"/>
  <c r="H22" i="1"/>
  <c r="G22" i="1"/>
  <c r="F22" i="1"/>
  <c r="Q22" i="1" s="1"/>
  <c r="E22" i="1"/>
  <c r="P21" i="1"/>
  <c r="O21" i="1"/>
  <c r="N21" i="1"/>
  <c r="M21" i="1"/>
  <c r="L21" i="1"/>
  <c r="K21" i="1"/>
  <c r="J21" i="1"/>
  <c r="I21" i="1"/>
  <c r="H21" i="1"/>
  <c r="G21" i="1"/>
  <c r="F21" i="1"/>
  <c r="E21" i="1"/>
  <c r="Q21" i="1" s="1"/>
  <c r="P20" i="1"/>
  <c r="O20" i="1"/>
  <c r="N20" i="1"/>
  <c r="M20" i="1"/>
  <c r="L20" i="1"/>
  <c r="K20" i="1"/>
  <c r="J20" i="1"/>
  <c r="I20" i="1"/>
  <c r="H20" i="1"/>
  <c r="G20" i="1"/>
  <c r="F20" i="1"/>
  <c r="Q20" i="1" s="1"/>
  <c r="E20" i="1"/>
  <c r="P19" i="1"/>
  <c r="O19" i="1"/>
  <c r="N19" i="1"/>
  <c r="M19" i="1"/>
  <c r="L19" i="1"/>
  <c r="K19" i="1"/>
  <c r="J19" i="1"/>
  <c r="I19" i="1"/>
  <c r="H19" i="1"/>
  <c r="G19" i="1"/>
  <c r="Q19" i="1" s="1"/>
  <c r="F19" i="1"/>
  <c r="E19" i="1"/>
  <c r="P18" i="1"/>
  <c r="O18" i="1"/>
  <c r="N18" i="1"/>
  <c r="M18" i="1"/>
  <c r="L18" i="1"/>
  <c r="K18" i="1"/>
  <c r="J18" i="1"/>
  <c r="I18" i="1"/>
  <c r="H18" i="1"/>
  <c r="G18" i="1"/>
  <c r="F18" i="1"/>
  <c r="Q18" i="1" s="1"/>
  <c r="E18" i="1"/>
  <c r="P17" i="1"/>
  <c r="O17" i="1"/>
  <c r="N17" i="1"/>
  <c r="M17" i="1"/>
  <c r="L17" i="1"/>
  <c r="K17" i="1"/>
  <c r="J17" i="1"/>
  <c r="I17" i="1"/>
  <c r="Q17" i="1" s="1"/>
  <c r="H17" i="1"/>
  <c r="G17" i="1"/>
  <c r="F17" i="1"/>
  <c r="E17" i="1"/>
  <c r="P16" i="1"/>
  <c r="O16" i="1"/>
  <c r="N16" i="1"/>
  <c r="M16" i="1"/>
  <c r="L16" i="1"/>
  <c r="K16" i="1"/>
  <c r="J16" i="1"/>
  <c r="I16" i="1"/>
  <c r="H16" i="1"/>
  <c r="G16" i="1"/>
  <c r="F16" i="1"/>
  <c r="E16" i="1"/>
  <c r="Q16" i="1" s="1"/>
  <c r="P15" i="1"/>
  <c r="O15" i="1"/>
  <c r="N15" i="1"/>
  <c r="M15" i="1"/>
  <c r="L15" i="1"/>
  <c r="K15" i="1"/>
  <c r="J15" i="1"/>
  <c r="I15" i="1"/>
  <c r="H15" i="1"/>
  <c r="G15" i="1"/>
  <c r="F15" i="1"/>
  <c r="E15" i="1"/>
  <c r="Q15" i="1" s="1"/>
  <c r="P14" i="1"/>
  <c r="O14" i="1"/>
  <c r="N14" i="1"/>
  <c r="M14" i="1"/>
  <c r="L14" i="1"/>
  <c r="K14" i="1"/>
  <c r="J14" i="1"/>
  <c r="I14" i="1"/>
  <c r="H14" i="1"/>
  <c r="G14" i="1"/>
  <c r="F14" i="1"/>
  <c r="Q14" i="1" s="1"/>
  <c r="E14" i="1"/>
  <c r="P13" i="1"/>
  <c r="O13" i="1"/>
  <c r="N13" i="1"/>
  <c r="M13" i="1"/>
  <c r="L13" i="1"/>
  <c r="K13" i="1"/>
  <c r="J13" i="1"/>
  <c r="I13" i="1"/>
  <c r="H13" i="1"/>
  <c r="G13" i="1"/>
  <c r="F13" i="1"/>
  <c r="E13" i="1"/>
  <c r="Q13" i="1" s="1"/>
  <c r="P12" i="1"/>
  <c r="O12" i="1"/>
  <c r="N12" i="1"/>
  <c r="M12" i="1"/>
  <c r="L12" i="1"/>
  <c r="K12" i="1"/>
  <c r="J12" i="1"/>
  <c r="I12" i="1"/>
  <c r="H12" i="1"/>
  <c r="G12" i="1"/>
  <c r="F12" i="1"/>
  <c r="Q12" i="1" s="1"/>
  <c r="E12" i="1"/>
  <c r="P11" i="1"/>
  <c r="O11" i="1"/>
  <c r="O41" i="1" s="1"/>
  <c r="N11" i="1"/>
  <c r="M11" i="1"/>
  <c r="L11" i="1"/>
  <c r="K11" i="1"/>
  <c r="J11" i="1"/>
  <c r="I11" i="1"/>
  <c r="H11" i="1"/>
  <c r="G11" i="1"/>
  <c r="G41" i="1" s="1"/>
  <c r="F11" i="1"/>
  <c r="E11" i="1"/>
  <c r="P10" i="1"/>
  <c r="O10" i="1"/>
  <c r="N10" i="1"/>
  <c r="M10" i="1"/>
  <c r="L10" i="1"/>
  <c r="K10" i="1"/>
  <c r="J10" i="1"/>
  <c r="I10" i="1"/>
  <c r="H10" i="1"/>
  <c r="G10" i="1"/>
  <c r="F10" i="1"/>
  <c r="Q10" i="1" s="1"/>
  <c r="E10" i="1"/>
  <c r="P9" i="1"/>
  <c r="O9" i="1"/>
  <c r="N9" i="1"/>
  <c r="M9" i="1"/>
  <c r="L9" i="1"/>
  <c r="K9" i="1"/>
  <c r="J9" i="1"/>
  <c r="I9" i="1"/>
  <c r="Q9" i="1" s="1"/>
  <c r="H9" i="1"/>
  <c r="G9" i="1"/>
  <c r="F9" i="1"/>
  <c r="E9" i="1"/>
  <c r="P8" i="1"/>
  <c r="O8" i="1"/>
  <c r="N8" i="1"/>
  <c r="M8" i="1"/>
  <c r="L8" i="1"/>
  <c r="K8" i="1"/>
  <c r="J8" i="1"/>
  <c r="I8" i="1"/>
  <c r="H8" i="1"/>
  <c r="G8" i="1"/>
  <c r="F8" i="1"/>
  <c r="E8" i="1"/>
  <c r="Q8" i="1" s="1"/>
  <c r="P7" i="1"/>
  <c r="P41" i="1" s="1"/>
  <c r="O7" i="1"/>
  <c r="N7" i="1"/>
  <c r="N41" i="1" s="1"/>
  <c r="M7" i="1"/>
  <c r="M41" i="1" s="1"/>
  <c r="L7" i="1"/>
  <c r="L41" i="1" s="1"/>
  <c r="K7" i="1"/>
  <c r="K41" i="1" s="1"/>
  <c r="J7" i="1"/>
  <c r="J41" i="1" s="1"/>
  <c r="I7" i="1"/>
  <c r="I41" i="1" s="1"/>
  <c r="H7" i="1"/>
  <c r="H41" i="1" s="1"/>
  <c r="G7" i="1"/>
  <c r="F7" i="1"/>
  <c r="F41" i="1" s="1"/>
  <c r="E7" i="1"/>
  <c r="E41" i="1" s="1"/>
  <c r="P6" i="1"/>
  <c r="O6" i="1"/>
  <c r="N6" i="1"/>
  <c r="M6" i="1"/>
  <c r="L6" i="1"/>
  <c r="K6" i="1"/>
  <c r="J6" i="1"/>
  <c r="I6" i="1"/>
  <c r="H6" i="1"/>
  <c r="G6" i="1"/>
  <c r="F6" i="1"/>
  <c r="E6" i="1"/>
  <c r="E53" i="18" l="1" a="1"/>
  <c r="E53" i="18" s="1"/>
  <c r="E55" i="18" a="1"/>
  <c r="E55" i="18" s="1"/>
  <c r="E54" i="18" a="1"/>
  <c r="E54" i="18" s="1"/>
  <c r="E61" i="18" a="1"/>
  <c r="E61" i="18" s="1"/>
  <c r="G8" i="18"/>
  <c r="E59" i="18" s="1" a="1"/>
  <c r="E59" i="18" s="1"/>
  <c r="C45" i="18"/>
  <c r="R17" i="1"/>
  <c r="S17" i="1"/>
  <c r="S24" i="1"/>
  <c r="R24" i="1"/>
  <c r="R25" i="1"/>
  <c r="S25" i="1"/>
  <c r="S30" i="1"/>
  <c r="R30" i="1"/>
  <c r="S32" i="1"/>
  <c r="R32" i="1"/>
  <c r="R33" i="1"/>
  <c r="S33" i="1"/>
  <c r="S34" i="1"/>
  <c r="R34" i="1"/>
  <c r="S40" i="1"/>
  <c r="R40" i="1"/>
  <c r="R23" i="1"/>
  <c r="S23" i="1"/>
  <c r="S14" i="1"/>
  <c r="R14" i="1"/>
  <c r="S28" i="1"/>
  <c r="R28" i="1"/>
  <c r="S38" i="1"/>
  <c r="R38" i="1"/>
  <c r="R9" i="1"/>
  <c r="S9" i="1"/>
  <c r="S36" i="1"/>
  <c r="R36" i="1"/>
  <c r="S8" i="1"/>
  <c r="R8" i="1"/>
  <c r="S10" i="1"/>
  <c r="R10" i="1"/>
  <c r="S20" i="1"/>
  <c r="R20" i="1"/>
  <c r="R15" i="1"/>
  <c r="S15" i="1"/>
  <c r="S21" i="1"/>
  <c r="R21" i="1"/>
  <c r="S27" i="1"/>
  <c r="R27" i="1"/>
  <c r="S29" i="1"/>
  <c r="R29" i="1"/>
  <c r="S35" i="1"/>
  <c r="R35" i="1"/>
  <c r="S37" i="1"/>
  <c r="R37" i="1"/>
  <c r="S16" i="1"/>
  <c r="R16" i="1"/>
  <c r="S18" i="1"/>
  <c r="R18" i="1"/>
  <c r="S26" i="1"/>
  <c r="R26" i="1"/>
  <c r="S13" i="1"/>
  <c r="R13" i="1"/>
  <c r="S12" i="1"/>
  <c r="R12" i="1"/>
  <c r="S22" i="1"/>
  <c r="R22" i="1"/>
  <c r="S19" i="1"/>
  <c r="R19" i="1"/>
  <c r="R31" i="1"/>
  <c r="S31" i="1"/>
  <c r="S39" i="1"/>
  <c r="R39" i="1"/>
  <c r="Q11" i="1"/>
  <c r="Q7" i="1"/>
  <c r="E56" i="18" l="1" a="1"/>
  <c r="E56" i="18" s="1"/>
  <c r="E65" i="18" s="1"/>
  <c r="J6" i="18" a="1"/>
  <c r="J6" i="18" s="1"/>
  <c r="R67" i="18"/>
  <c r="G35" i="18"/>
  <c r="D60" i="18" a="1"/>
  <c r="D60" i="18" s="1"/>
  <c r="F60" i="18" a="1"/>
  <c r="F60" i="18" s="1"/>
  <c r="O63" i="18" a="1"/>
  <c r="O63" i="18" s="1"/>
  <c r="Q63" i="18" a="1"/>
  <c r="Q63" i="18" s="1"/>
  <c r="K57" i="18" a="1"/>
  <c r="K57" i="18" s="1"/>
  <c r="M57" i="18" a="1"/>
  <c r="M57" i="18" s="1"/>
  <c r="O58" i="18" a="1"/>
  <c r="O58" i="18" s="1"/>
  <c r="Q58" i="18" a="1"/>
  <c r="Q58" i="18" s="1"/>
  <c r="F53" i="18" a="1"/>
  <c r="F53" i="18" s="1"/>
  <c r="H53" i="18" a="1"/>
  <c r="H53" i="18" s="1"/>
  <c r="N54" i="18" a="1"/>
  <c r="N54" i="18" s="1"/>
  <c r="P54" i="18" a="1"/>
  <c r="P54" i="18" s="1"/>
  <c r="D56" i="18" a="1"/>
  <c r="D56" i="18" s="1"/>
  <c r="F55" i="18" a="1"/>
  <c r="F55" i="18" s="1"/>
  <c r="H55" i="18" a="1"/>
  <c r="H55" i="18" s="1"/>
  <c r="C62" i="18" a="1"/>
  <c r="C62" i="18" s="1"/>
  <c r="D59" i="18" a="1"/>
  <c r="D59" i="18" s="1"/>
  <c r="F59" i="18" a="1"/>
  <c r="F59" i="18" s="1"/>
  <c r="C61" i="18" a="1"/>
  <c r="C61" i="18" s="1"/>
  <c r="O64" i="18" a="1"/>
  <c r="O64" i="18" s="1"/>
  <c r="Q64" i="18" a="1"/>
  <c r="Q64" i="18" s="1"/>
  <c r="G63" i="18" a="1"/>
  <c r="G63" i="18" s="1"/>
  <c r="F54" i="18" a="1"/>
  <c r="F54" i="18" s="1"/>
  <c r="J62" i="18" a="1"/>
  <c r="J62" i="18" s="1"/>
  <c r="K58" i="18" a="1"/>
  <c r="K58" i="18" s="1"/>
  <c r="L54" i="18" a="1"/>
  <c r="L54" i="18" s="1"/>
  <c r="N61" i="18" a="1"/>
  <c r="N61" i="18" s="1"/>
  <c r="H60" i="18" a="1"/>
  <c r="H60" i="18" s="1"/>
  <c r="J60" i="18" a="1"/>
  <c r="J60" i="18" s="1"/>
  <c r="D63" i="18" a="1"/>
  <c r="D63" i="18" s="1"/>
  <c r="O57" i="18" a="1"/>
  <c r="O57" i="18" s="1"/>
  <c r="Q57" i="18" a="1"/>
  <c r="Q57" i="18" s="1"/>
  <c r="D58" i="18" a="1"/>
  <c r="D58" i="18" s="1"/>
  <c r="F58" i="18" a="1"/>
  <c r="F58" i="18" s="1"/>
  <c r="J53" i="18" a="1"/>
  <c r="J53" i="18" s="1"/>
  <c r="L53" i="18" a="1"/>
  <c r="L53" i="18" s="1"/>
  <c r="C54" i="18" a="1"/>
  <c r="C54" i="18" s="1"/>
  <c r="F56" i="18" a="1"/>
  <c r="F56" i="18" s="1"/>
  <c r="H56" i="18" a="1"/>
  <c r="H56" i="18" s="1"/>
  <c r="J55" i="18" a="1"/>
  <c r="J55" i="18" s="1"/>
  <c r="L55" i="18" a="1"/>
  <c r="L55" i="18" s="1"/>
  <c r="G62" i="18" a="1"/>
  <c r="G62" i="18" s="1"/>
  <c r="H59" i="18" a="1"/>
  <c r="H59" i="18" s="1"/>
  <c r="J59" i="18" a="1"/>
  <c r="J59" i="18" s="1"/>
  <c r="G61" i="18" a="1"/>
  <c r="G61" i="18" s="1"/>
  <c r="D64" i="18" a="1"/>
  <c r="D64" i="18" s="1"/>
  <c r="F64" i="18" a="1"/>
  <c r="F64" i="18" s="1"/>
  <c r="I63" i="18" a="1"/>
  <c r="I63" i="18" s="1"/>
  <c r="H54" i="18" a="1"/>
  <c r="H54" i="18" s="1"/>
  <c r="M59" i="18" a="1"/>
  <c r="M59" i="18" s="1"/>
  <c r="I64" i="18" a="1"/>
  <c r="I64" i="18" s="1"/>
  <c r="I57" i="18" a="1"/>
  <c r="I57" i="18" s="1"/>
  <c r="J54" i="18" a="1"/>
  <c r="J54" i="18" s="1"/>
  <c r="P62" i="18" a="1"/>
  <c r="P62" i="18" s="1"/>
  <c r="L60" i="18" a="1"/>
  <c r="L60" i="18" s="1"/>
  <c r="N60" i="18" a="1"/>
  <c r="N60" i="18" s="1"/>
  <c r="F63" i="18" a="1"/>
  <c r="F63" i="18" s="1"/>
  <c r="H63" i="18" a="1"/>
  <c r="H63" i="18" s="1"/>
  <c r="D57" i="18" a="1"/>
  <c r="D57" i="18" s="1"/>
  <c r="F57" i="18" a="1"/>
  <c r="F57" i="18" s="1"/>
  <c r="H58" i="18" a="1"/>
  <c r="H58" i="18" s="1"/>
  <c r="J58" i="18" a="1"/>
  <c r="J58" i="18" s="1"/>
  <c r="N53" i="18" a="1"/>
  <c r="N53" i="18" s="1"/>
  <c r="P53" i="18" a="1"/>
  <c r="P53" i="18" s="1"/>
  <c r="G54" i="18" a="1"/>
  <c r="G54" i="18" s="1"/>
  <c r="J56" i="18" a="1"/>
  <c r="J56" i="18" s="1"/>
  <c r="L56" i="18" a="1"/>
  <c r="L56" i="18" s="1"/>
  <c r="N55" i="18" a="1"/>
  <c r="N55" i="18" s="1"/>
  <c r="P55" i="18" a="1"/>
  <c r="P55" i="18" s="1"/>
  <c r="I62" i="18" a="1"/>
  <c r="I62" i="18" s="1"/>
  <c r="K62" i="18" a="1"/>
  <c r="K62" i="18" s="1"/>
  <c r="L59" i="18" a="1"/>
  <c r="L59" i="18" s="1"/>
  <c r="N59" i="18" a="1"/>
  <c r="N59" i="18" s="1"/>
  <c r="I61" i="18" a="1"/>
  <c r="I61" i="18" s="1"/>
  <c r="K61" i="18" a="1"/>
  <c r="K61" i="18" s="1"/>
  <c r="H64" i="18" a="1"/>
  <c r="H64" i="18" s="1"/>
  <c r="C57" i="18" a="1"/>
  <c r="C57" i="18" s="1"/>
  <c r="I58" i="18" a="1"/>
  <c r="I58" i="18" s="1"/>
  <c r="M56" i="18" a="1"/>
  <c r="M56" i="18" s="1"/>
  <c r="O59" i="18" a="1"/>
  <c r="O59" i="18" s="1"/>
  <c r="G64" i="18" a="1"/>
  <c r="G64" i="18" s="1"/>
  <c r="G57" i="18" a="1"/>
  <c r="G57" i="18" s="1"/>
  <c r="O56" i="18" a="1"/>
  <c r="O56" i="18" s="1"/>
  <c r="Q59" i="18" a="1"/>
  <c r="Q59" i="18" s="1"/>
  <c r="P60" i="18" a="1"/>
  <c r="P60" i="18" s="1"/>
  <c r="C60" i="18" a="1"/>
  <c r="C60" i="18" s="1"/>
  <c r="J63" i="18" a="1"/>
  <c r="J63" i="18" s="1"/>
  <c r="L63" i="18" a="1"/>
  <c r="L63" i="18" s="1"/>
  <c r="H57" i="18" a="1"/>
  <c r="H57" i="18" s="1"/>
  <c r="J57" i="18" a="1"/>
  <c r="J57" i="18" s="1"/>
  <c r="L58" i="18" a="1"/>
  <c r="L58" i="18" s="1"/>
  <c r="N58" i="18" a="1"/>
  <c r="N58" i="18" s="1"/>
  <c r="C53" i="18" a="1"/>
  <c r="C53" i="18" s="1"/>
  <c r="I54" i="18" a="1"/>
  <c r="I54" i="18" s="1"/>
  <c r="K54" i="18" a="1"/>
  <c r="K54" i="18" s="1"/>
  <c r="N56" i="18" a="1"/>
  <c r="N56" i="18" s="1"/>
  <c r="P56" i="18" a="1"/>
  <c r="P56" i="18" s="1"/>
  <c r="C55" i="18" a="1"/>
  <c r="C55" i="18" s="1"/>
  <c r="R55" i="18" s="1"/>
  <c r="M62" i="18" a="1"/>
  <c r="M62" i="18" s="1"/>
  <c r="O62" i="18" a="1"/>
  <c r="O62" i="18" s="1"/>
  <c r="P59" i="18" a="1"/>
  <c r="P59" i="18" s="1"/>
  <c r="C59" i="18" a="1"/>
  <c r="C59" i="18" s="1"/>
  <c r="M61" i="18" a="1"/>
  <c r="M61" i="18" s="1"/>
  <c r="O61" i="18" a="1"/>
  <c r="O61" i="18" s="1"/>
  <c r="J64" i="18" a="1"/>
  <c r="J64" i="18" s="1"/>
  <c r="L64" i="18" a="1"/>
  <c r="L64" i="18" s="1"/>
  <c r="G58" i="18" a="1"/>
  <c r="G58" i="18" s="1"/>
  <c r="K56" i="18" a="1"/>
  <c r="K56" i="18" s="1"/>
  <c r="L62" i="18" a="1"/>
  <c r="L62" i="18" s="1"/>
  <c r="Q60" i="18" a="1"/>
  <c r="Q60" i="18" s="1"/>
  <c r="M58" i="18" a="1"/>
  <c r="M58" i="18" s="1"/>
  <c r="Q56" i="18" a="1"/>
  <c r="Q56" i="18" s="1"/>
  <c r="K64" i="18" a="1"/>
  <c r="K64" i="18" s="1"/>
  <c r="G60" i="18" a="1"/>
  <c r="G60" i="18" s="1"/>
  <c r="N63" i="18" a="1"/>
  <c r="N63" i="18" s="1"/>
  <c r="P63" i="18" a="1"/>
  <c r="P63" i="18" s="1"/>
  <c r="L57" i="18" a="1"/>
  <c r="L57" i="18" s="1"/>
  <c r="N57" i="18" a="1"/>
  <c r="N57" i="18" s="1"/>
  <c r="P58" i="18" a="1"/>
  <c r="P58" i="18" s="1"/>
  <c r="G53" i="18" a="1"/>
  <c r="G53" i="18" s="1"/>
  <c r="M54" i="18" a="1"/>
  <c r="M54" i="18" s="1"/>
  <c r="O54" i="18" a="1"/>
  <c r="O54" i="18" s="1"/>
  <c r="C56" i="18" a="1"/>
  <c r="C56" i="18" s="1"/>
  <c r="G55" i="18" a="1"/>
  <c r="G55" i="18" s="1"/>
  <c r="I55" i="18" a="1"/>
  <c r="I55" i="18" s="1"/>
  <c r="Q62" i="18" a="1"/>
  <c r="Q62" i="18" s="1"/>
  <c r="D62" i="18" a="1"/>
  <c r="D62" i="18" s="1"/>
  <c r="G59" i="18" a="1"/>
  <c r="G59" i="18" s="1"/>
  <c r="Q61" i="18" a="1"/>
  <c r="Q61" i="18" s="1"/>
  <c r="D61" i="18" a="1"/>
  <c r="D61" i="18" s="1"/>
  <c r="N64" i="18" a="1"/>
  <c r="N64" i="18" s="1"/>
  <c r="P64" i="18" a="1"/>
  <c r="P64" i="18" s="1"/>
  <c r="O60" i="18" a="1"/>
  <c r="O60" i="18" s="1"/>
  <c r="O53" i="18" a="1"/>
  <c r="O53" i="18" s="1"/>
  <c r="Q55" i="18" a="1"/>
  <c r="Q55" i="18" s="1"/>
  <c r="L61" i="18" a="1"/>
  <c r="L61" i="18" s="1"/>
  <c r="M63" i="18" a="1"/>
  <c r="M63" i="18" s="1"/>
  <c r="D53" i="18" a="1"/>
  <c r="D53" i="18" s="1"/>
  <c r="D55" i="18" a="1"/>
  <c r="D55" i="18" s="1"/>
  <c r="P61" i="18" a="1"/>
  <c r="P61" i="18" s="1"/>
  <c r="I60" i="18" a="1"/>
  <c r="I60" i="18" s="1"/>
  <c r="K60" i="18" a="1"/>
  <c r="K60" i="18" s="1"/>
  <c r="C63" i="18" a="1"/>
  <c r="C63" i="18" s="1"/>
  <c r="P57" i="18" a="1"/>
  <c r="P57" i="18" s="1"/>
  <c r="C58" i="18" a="1"/>
  <c r="C58" i="18" s="1"/>
  <c r="I53" i="18" a="1"/>
  <c r="I53" i="18" s="1"/>
  <c r="I65" i="18" s="1"/>
  <c r="K53" i="18" a="1"/>
  <c r="K53" i="18" s="1"/>
  <c r="Q54" i="18" a="1"/>
  <c r="Q54" i="18" s="1"/>
  <c r="D54" i="18" a="1"/>
  <c r="D54" i="18" s="1"/>
  <c r="G56" i="18" a="1"/>
  <c r="G56" i="18" s="1"/>
  <c r="I56" i="18" a="1"/>
  <c r="I56" i="18" s="1"/>
  <c r="K55" i="18" a="1"/>
  <c r="K55" i="18" s="1"/>
  <c r="M55" i="18" a="1"/>
  <c r="M55" i="18" s="1"/>
  <c r="F62" i="18" a="1"/>
  <c r="F62" i="18" s="1"/>
  <c r="H62" i="18" a="1"/>
  <c r="H62" i="18" s="1"/>
  <c r="I59" i="18" a="1"/>
  <c r="I59" i="18" s="1"/>
  <c r="K59" i="18" a="1"/>
  <c r="K59" i="18" s="1"/>
  <c r="F61" i="18" a="1"/>
  <c r="F61" i="18" s="1"/>
  <c r="H61" i="18" a="1"/>
  <c r="H61" i="18" s="1"/>
  <c r="C64" i="18" a="1"/>
  <c r="C64" i="18" s="1"/>
  <c r="M60" i="18" a="1"/>
  <c r="M60" i="18" s="1"/>
  <c r="M53" i="18" a="1"/>
  <c r="M53" i="18" s="1"/>
  <c r="M65" i="18" s="1"/>
  <c r="O55" i="18" a="1"/>
  <c r="O55" i="18" s="1"/>
  <c r="J61" i="18" a="1"/>
  <c r="J61" i="18" s="1"/>
  <c r="K63" i="18" a="1"/>
  <c r="K63" i="18" s="1"/>
  <c r="Q53" i="18" a="1"/>
  <c r="Q53" i="18" s="1"/>
  <c r="Q65" i="18" s="1"/>
  <c r="N62" i="18" a="1"/>
  <c r="N62" i="18" s="1"/>
  <c r="M64" i="18" a="1"/>
  <c r="M64" i="18" s="1"/>
  <c r="E63" i="18" a="1"/>
  <c r="E63" i="18" s="1"/>
  <c r="E58" i="18" a="1"/>
  <c r="E58" i="18" s="1"/>
  <c r="E64" i="18" a="1"/>
  <c r="E64" i="18" s="1"/>
  <c r="E57" i="18" a="1"/>
  <c r="E57" i="18" s="1"/>
  <c r="E60" i="18" a="1"/>
  <c r="E60" i="18" s="1"/>
  <c r="E62" i="18" a="1"/>
  <c r="E62" i="18" s="1"/>
  <c r="S7" i="1"/>
  <c r="R7" i="1"/>
  <c r="Q41" i="1"/>
  <c r="S11" i="1"/>
  <c r="R11" i="1"/>
  <c r="R58" i="18" l="1"/>
  <c r="F65" i="18"/>
  <c r="D65" i="18"/>
  <c r="R64" i="18"/>
  <c r="G65" i="18"/>
  <c r="P65" i="18"/>
  <c r="R62" i="18"/>
  <c r="R63" i="18"/>
  <c r="N65" i="18"/>
  <c r="H65" i="18"/>
  <c r="O65" i="18"/>
  <c r="R59" i="18"/>
  <c r="R60" i="18"/>
  <c r="C65" i="18"/>
  <c r="R53" i="18"/>
  <c r="R57" i="18"/>
  <c r="R54" i="18"/>
  <c r="L65" i="18"/>
  <c r="K65" i="18"/>
  <c r="R56" i="18"/>
  <c r="J65" i="18"/>
  <c r="R61" i="18"/>
  <c r="R41" i="1"/>
  <c r="S41" i="1"/>
  <c r="S44" i="1" s="1"/>
  <c r="R65" i="18" l="1"/>
  <c r="S43" i="1"/>
  <c r="S45" i="1" s="1"/>
  <c r="R68" i="18" l="1"/>
  <c r="R69" i="18"/>
  <c r="T37" i="1"/>
  <c r="T30" i="1"/>
  <c r="T10" i="1"/>
  <c r="T17" i="1"/>
  <c r="T39" i="1"/>
  <c r="T29" i="1"/>
  <c r="U29" i="1" s="1"/>
  <c r="T35" i="1"/>
  <c r="T22" i="1"/>
  <c r="T24" i="1"/>
  <c r="T31" i="1"/>
  <c r="T21" i="1"/>
  <c r="T27" i="1"/>
  <c r="U27" i="1" s="1"/>
  <c r="T14" i="1"/>
  <c r="T16" i="1"/>
  <c r="T23" i="1"/>
  <c r="T13" i="1"/>
  <c r="U13" i="1" s="1"/>
  <c r="T19" i="1"/>
  <c r="T33" i="1"/>
  <c r="U33" i="1" s="1"/>
  <c r="T8" i="1"/>
  <c r="T28" i="1"/>
  <c r="U28" i="1" s="1"/>
  <c r="T15" i="1"/>
  <c r="T36" i="1"/>
  <c r="T11" i="1"/>
  <c r="T25" i="1"/>
  <c r="U25" i="1" s="1"/>
  <c r="T7" i="1"/>
  <c r="T38" i="1"/>
  <c r="T20" i="1"/>
  <c r="T26" i="1"/>
  <c r="U26" i="1" s="1"/>
  <c r="T9" i="1"/>
  <c r="T12" i="1"/>
  <c r="T18" i="1"/>
  <c r="T40" i="1"/>
  <c r="T32" i="1"/>
  <c r="T34" i="1"/>
  <c r="L69" i="1" l="1"/>
  <c r="U40" i="1"/>
  <c r="H70" i="1"/>
  <c r="U23" i="1"/>
  <c r="U35" i="1"/>
  <c r="L63" i="1"/>
  <c r="U18" i="1"/>
  <c r="L58" i="1"/>
  <c r="U12" i="1"/>
  <c r="L54" i="1"/>
  <c r="L56" i="1"/>
  <c r="U15" i="1"/>
  <c r="U14" i="1"/>
  <c r="L55" i="1"/>
  <c r="L66" i="1"/>
  <c r="U39" i="1"/>
  <c r="U17" i="1"/>
  <c r="L67" i="1"/>
  <c r="L57" i="1"/>
  <c r="U16" i="1"/>
  <c r="U20" i="1"/>
  <c r="F70" i="1"/>
  <c r="C70" i="1"/>
  <c r="U8" i="1"/>
  <c r="L60" i="1"/>
  <c r="U21" i="1"/>
  <c r="E70" i="1"/>
  <c r="U10" i="1"/>
  <c r="U22" i="1"/>
  <c r="G70" i="1"/>
  <c r="U36" i="1"/>
  <c r="L65" i="1"/>
  <c r="D70" i="1"/>
  <c r="U9" i="1"/>
  <c r="U38" i="1"/>
  <c r="J70" i="1"/>
  <c r="L62" i="1"/>
  <c r="U31" i="1"/>
  <c r="U30" i="1"/>
  <c r="L61" i="1"/>
  <c r="U11" i="1"/>
  <c r="L52" i="1"/>
  <c r="U34" i="1"/>
  <c r="L64" i="1"/>
  <c r="K70" i="1"/>
  <c r="U32" i="1"/>
  <c r="L53" i="1"/>
  <c r="T41" i="1"/>
  <c r="U7" i="1"/>
  <c r="U19" i="1"/>
  <c r="L59" i="1"/>
  <c r="I70" i="1"/>
  <c r="U24" i="1"/>
  <c r="L68" i="1"/>
  <c r="U37" i="1"/>
  <c r="C63" i="1" l="1"/>
  <c r="E62" i="1"/>
  <c r="D62" i="1"/>
  <c r="H64" i="1"/>
  <c r="J57" i="1"/>
  <c r="D56" i="1"/>
  <c r="G55" i="1"/>
  <c r="L70" i="1"/>
  <c r="C61" i="1" s="1"/>
  <c r="F52" i="1"/>
  <c r="C67" i="1"/>
  <c r="E54" i="1"/>
  <c r="F54" i="1"/>
  <c r="D59" i="1"/>
  <c r="U41" i="1"/>
  <c r="K60" i="1"/>
  <c r="D69" i="1"/>
  <c r="C69" i="1"/>
  <c r="C66" i="1" l="1"/>
  <c r="D53" i="1"/>
  <c r="D68" i="1"/>
  <c r="D58" i="1"/>
  <c r="I65" i="1"/>
  <c r="I61" i="1"/>
  <c r="D60" i="1"/>
  <c r="E59" i="1"/>
  <c r="G54" i="1"/>
  <c r="D67" i="1"/>
  <c r="K67" i="1"/>
  <c r="G52" i="1"/>
  <c r="H55" i="1"/>
  <c r="E56" i="1"/>
  <c r="F57" i="1"/>
  <c r="C64" i="1"/>
  <c r="F62" i="1"/>
  <c r="J63" i="1"/>
  <c r="K63" i="1"/>
  <c r="K66" i="1"/>
  <c r="F53" i="1"/>
  <c r="E68" i="1"/>
  <c r="I58" i="1"/>
  <c r="J65" i="1"/>
  <c r="J61" i="1"/>
  <c r="K69" i="1"/>
  <c r="F59" i="1"/>
  <c r="J52" i="1"/>
  <c r="C57" i="1"/>
  <c r="D66" i="1"/>
  <c r="J58" i="1"/>
  <c r="E69" i="1"/>
  <c r="I54" i="1"/>
  <c r="F67" i="1"/>
  <c r="C52" i="1"/>
  <c r="M70" i="1" s="1"/>
  <c r="I52" i="1"/>
  <c r="C55" i="1"/>
  <c r="F56" i="1"/>
  <c r="K57" i="1"/>
  <c r="D64" i="1"/>
  <c r="H62" i="1"/>
  <c r="E63" i="1"/>
  <c r="F66" i="1"/>
  <c r="H53" i="1"/>
  <c r="G53" i="1"/>
  <c r="G68" i="1"/>
  <c r="C58" i="1"/>
  <c r="K65" i="1"/>
  <c r="G62" i="1"/>
  <c r="F68" i="1"/>
  <c r="G59" i="1"/>
  <c r="J54" i="1"/>
  <c r="K52" i="1"/>
  <c r="D55" i="1"/>
  <c r="K55" i="1"/>
  <c r="G56" i="1"/>
  <c r="D57" i="1"/>
  <c r="E64" i="1"/>
  <c r="I62" i="1"/>
  <c r="F63" i="1"/>
  <c r="G66" i="1"/>
  <c r="I53" i="1"/>
  <c r="H68" i="1"/>
  <c r="I68" i="1"/>
  <c r="K58" i="1"/>
  <c r="D65" i="1"/>
  <c r="K61" i="1"/>
  <c r="H54" i="1"/>
  <c r="K64" i="1"/>
  <c r="C65" i="1"/>
  <c r="G69" i="1"/>
  <c r="G60" i="1"/>
  <c r="F69" i="1"/>
  <c r="I60" i="1"/>
  <c r="C54" i="1"/>
  <c r="G67" i="1"/>
  <c r="E55" i="1"/>
  <c r="J56" i="1"/>
  <c r="I56" i="1"/>
  <c r="E57" i="1"/>
  <c r="F64" i="1"/>
  <c r="J62" i="1"/>
  <c r="G63" i="1"/>
  <c r="H66" i="1"/>
  <c r="J53" i="1"/>
  <c r="J68" i="1"/>
  <c r="F58" i="1"/>
  <c r="E58" i="1"/>
  <c r="E65" i="1"/>
  <c r="D61" i="1"/>
  <c r="E60" i="1"/>
  <c r="E67" i="1"/>
  <c r="I55" i="1"/>
  <c r="D63" i="1"/>
  <c r="E66" i="1"/>
  <c r="E53" i="1"/>
  <c r="F60" i="1"/>
  <c r="J67" i="1"/>
  <c r="C59" i="1"/>
  <c r="K54" i="1"/>
  <c r="H67" i="1"/>
  <c r="E52" i="1"/>
  <c r="F55" i="1"/>
  <c r="C56" i="1"/>
  <c r="H57" i="1"/>
  <c r="G57" i="1"/>
  <c r="G64" i="1"/>
  <c r="C62" i="1"/>
  <c r="H63" i="1"/>
  <c r="I66" i="1"/>
  <c r="C53" i="1"/>
  <c r="C68" i="1"/>
  <c r="G58" i="1"/>
  <c r="H65" i="1"/>
  <c r="G65" i="1"/>
  <c r="E61" i="1"/>
  <c r="H56" i="1"/>
  <c r="F61" i="1"/>
  <c r="H69" i="1"/>
  <c r="H59" i="1"/>
  <c r="H60" i="1"/>
  <c r="I59" i="1"/>
  <c r="D52" i="1"/>
  <c r="I69" i="1"/>
  <c r="J60" i="1"/>
  <c r="J69" i="1"/>
  <c r="C60" i="1"/>
  <c r="J59" i="1"/>
  <c r="K59" i="1"/>
  <c r="D54" i="1"/>
  <c r="I67" i="1"/>
  <c r="H52" i="1"/>
  <c r="J55" i="1"/>
  <c r="K56" i="1"/>
  <c r="I57" i="1"/>
  <c r="J64" i="1"/>
  <c r="I64" i="1"/>
  <c r="K62" i="1"/>
  <c r="I63" i="1"/>
  <c r="J66" i="1"/>
  <c r="K53" i="1"/>
  <c r="K68" i="1"/>
  <c r="H58" i="1"/>
  <c r="F65" i="1"/>
  <c r="H61" i="1"/>
  <c r="G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Rubén Osvaldo  Sanhueza Ramirez</author>
  </authors>
  <commentList>
    <comment ref="A27" authorId="0" shapeId="0" xr:uid="{656DC110-8C6E-419B-8F92-6E6AFCC7B2B2}">
      <text>
        <r>
          <rPr>
            <sz val="9"/>
            <color indexed="81"/>
            <rFont val="Tahoma"/>
            <family val="2"/>
          </rPr>
          <t>LUZ ANDES se reemplaza por ENEL DISTRIBUCIÓN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F38B1A-DF12-4FA3-80DD-EF819E3D51B5}" name="Consulta - TEE" description="Conexión a la consulta 'TEE' en el libro." type="100" refreshedVersion="7" minRefreshableVersion="5">
    <extLst>
      <ext xmlns:x15="http://schemas.microsoft.com/office/spreadsheetml/2010/11/main" uri="{DE250136-89BD-433C-8126-D09CA5730AF9}">
        <x15:connection id="a90c98d4-0996-47f6-b871-38956881da17">
          <x15:oledbPr connection="Provider=Microsoft.Mashup.OleDb.1;Data Source=$Workbook$;Location=TEE;Extended Properties=&quot;&quot;">
            <x15:dbTables>
              <x15:dbTable name="TEE"/>
            </x15:dbTables>
          </x15:oledbPr>
        </x15:connection>
      </ext>
    </extLst>
  </connection>
  <connection id="2" xr16:uid="{00000000-0015-0000-FFFF-FFFF08000000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BA6AC980-476D-4F4F-98CE-C78BD9BC68EC}" name="WorksheetConnection_Resumen_ETR_2001 (1902-2001)_def.xlsx!RUT" type="102" refreshedVersion="7" minRefreshableVersion="5">
    <extLst>
      <ext xmlns:x15="http://schemas.microsoft.com/office/spreadsheetml/2010/11/main" uri="{DE250136-89BD-433C-8126-D09CA5730AF9}">
        <x15:connection id="RUT-1fce75b2-d4c1-4be0-bca6-4e8148158b22">
          <x15:rangePr sourceName="_xlcn.WorksheetConnection_Resumen_ETR_200119022001_def.xlsxRUT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<sst xmlns="http://schemas.openxmlformats.org/spreadsheetml/2006/main" count="1432" uniqueCount="137">
  <si>
    <t>Reliquidación de Diferencias por Aplicación de FETR</t>
  </si>
  <si>
    <t>Saldo Anterior</t>
  </si>
  <si>
    <t>Ajuste de saldo</t>
  </si>
  <si>
    <t>VDFETR</t>
  </si>
  <si>
    <t>VBFETR</t>
  </si>
  <si>
    <t>Monto a Transferir</t>
  </si>
  <si>
    <t>Saldo</t>
  </si>
  <si>
    <t>Distribuidora</t>
  </si>
  <si>
    <t>[$]</t>
  </si>
  <si>
    <t>Periodo</t>
  </si>
  <si>
    <t>CEC</t>
  </si>
  <si>
    <t>CGE</t>
  </si>
  <si>
    <t>CGED</t>
  </si>
  <si>
    <t>ENEL DISTRIBUCIÓN</t>
  </si>
  <si>
    <t>CHILQUINTA</t>
  </si>
  <si>
    <t>CODINER</t>
  </si>
  <si>
    <t>COELCHA</t>
  </si>
  <si>
    <t>CONAFE</t>
  </si>
  <si>
    <t>COOPELAN</t>
  </si>
  <si>
    <t>COOPERSOL</t>
  </si>
  <si>
    <t>COOPREL</t>
  </si>
  <si>
    <t>COPELEC</t>
  </si>
  <si>
    <t>CRELL</t>
  </si>
  <si>
    <t>DESA</t>
  </si>
  <si>
    <t>EDECSA</t>
  </si>
  <si>
    <t>EDELAYSÉN</t>
  </si>
  <si>
    <t>EDELMAG</t>
  </si>
  <si>
    <t>EEC</t>
  </si>
  <si>
    <t>EEPA</t>
  </si>
  <si>
    <t>ELECDA SIC</t>
  </si>
  <si>
    <t>ELECDA SING</t>
  </si>
  <si>
    <t>ELIQSA</t>
  </si>
  <si>
    <t>EMELARI</t>
  </si>
  <si>
    <t>EMELAT</t>
  </si>
  <si>
    <t>EMELCA</t>
  </si>
  <si>
    <t>FRONTEL</t>
  </si>
  <si>
    <t>LITORAL</t>
  </si>
  <si>
    <t>LUZ ANDES</t>
  </si>
  <si>
    <t>LUZ OSORNO</t>
  </si>
  <si>
    <t>LUZLINARES</t>
  </si>
  <si>
    <t>LUZPARRAL</t>
  </si>
  <si>
    <t>MATAQUITO</t>
  </si>
  <si>
    <t>SAESA</t>
  </si>
  <si>
    <t>SOCOEPA</t>
  </si>
  <si>
    <t>TIL TIL</t>
  </si>
  <si>
    <t>Total general</t>
  </si>
  <si>
    <t>VTDFETR</t>
  </si>
  <si>
    <t>VTBFETR</t>
  </si>
  <si>
    <t>Monto Transferir</t>
  </si>
  <si>
    <t>Cuadro de Pagos Reliquidación Mecanismo ETR (montos en $)</t>
  </si>
  <si>
    <t>Pagan</t>
  </si>
  <si>
    <t>Reciben</t>
  </si>
  <si>
    <t>Total</t>
  </si>
  <si>
    <t>Empresa Distribuidora</t>
  </si>
  <si>
    <t>EMPRESA</t>
  </si>
  <si>
    <t>RUT</t>
  </si>
  <si>
    <t>Fecha</t>
  </si>
  <si>
    <t>70.287.900-0</t>
  </si>
  <si>
    <t>76.411.321-7</t>
  </si>
  <si>
    <t>96.800.570-7</t>
  </si>
  <si>
    <t>96.813.520-1</t>
  </si>
  <si>
    <t>78.397.530-0</t>
  </si>
  <si>
    <t>80.238.000-3</t>
  </si>
  <si>
    <t>81.585.900-6</t>
  </si>
  <si>
    <t>74.379.600-4</t>
  </si>
  <si>
    <t>81.388.600-6</t>
  </si>
  <si>
    <t>80.237.700-2</t>
  </si>
  <si>
    <t>81.106.900-0</t>
  </si>
  <si>
    <t>77.504.335-0</t>
  </si>
  <si>
    <t>96.766.110-4</t>
  </si>
  <si>
    <t>88.272.600-2</t>
  </si>
  <si>
    <t>88.221.200-9</t>
  </si>
  <si>
    <t>96.783.910-8</t>
  </si>
  <si>
    <t>80.313.300-K</t>
  </si>
  <si>
    <t>81.577.400-0</t>
  </si>
  <si>
    <t>76.073.164-1</t>
  </si>
  <si>
    <t>91.344.000-5</t>
  </si>
  <si>
    <t>96.531.500-4</t>
  </si>
  <si>
    <t>96.884.450-4</t>
  </si>
  <si>
    <t>96.866.680-0</t>
  </si>
  <si>
    <t>76.073.162-5</t>
  </si>
  <si>
    <t>81.629.800-8</t>
  </si>
  <si>
    <t>70.849.500-K</t>
  </si>
  <si>
    <t>76.808.157-3</t>
  </si>
  <si>
    <t>Coordinador:</t>
  </si>
  <si>
    <t>SEN</t>
  </si>
  <si>
    <t>Sistema Eléctrico Nacional</t>
  </si>
  <si>
    <t>Concepto:</t>
  </si>
  <si>
    <t>ETR</t>
  </si>
  <si>
    <t>Equidad Tarifaria</t>
  </si>
  <si>
    <t>Tipo:</t>
  </si>
  <si>
    <t>V001</t>
  </si>
  <si>
    <t>LIQUIDACION</t>
  </si>
  <si>
    <t>Fecha Generaci„n:</t>
  </si>
  <si>
    <t>Fecha Emisi„n:</t>
  </si>
  <si>
    <t>FILA</t>
  </si>
  <si>
    <t>Nemotecnico Deudor</t>
  </si>
  <si>
    <t>RUT Deudor</t>
  </si>
  <si>
    <t>COLUMNA</t>
  </si>
  <si>
    <t>Nemotecnico Acreedor</t>
  </si>
  <si>
    <t>RUT Acreedor</t>
  </si>
  <si>
    <t>Monto</t>
  </si>
  <si>
    <t>Fila</t>
  </si>
  <si>
    <t>Columna</t>
  </si>
  <si>
    <t>TIL-TIL</t>
  </si>
  <si>
    <t>ENELSA</t>
  </si>
  <si>
    <t>CONAFE B</t>
  </si>
  <si>
    <t>CONAFE A</t>
  </si>
  <si>
    <t>EMETAL</t>
  </si>
  <si>
    <t>EMELECTRIC</t>
  </si>
  <si>
    <t>ELECDA</t>
  </si>
  <si>
    <t>[kWh]</t>
  </si>
  <si>
    <t>VSSR</t>
  </si>
  <si>
    <t xml:space="preserve">EFACTBT </t>
  </si>
  <si>
    <t>EFACTAT</t>
  </si>
  <si>
    <t>Distribuidora o Cooperativa</t>
  </si>
  <si>
    <t>Libro DP</t>
  </si>
  <si>
    <t>Clave</t>
  </si>
  <si>
    <t>N°</t>
  </si>
  <si>
    <t>Versión</t>
  </si>
  <si>
    <t>Mes (Fecha de emisión de factura)</t>
  </si>
  <si>
    <t>TOTAL</t>
  </si>
  <si>
    <t>Monto a Transferir x empresa</t>
  </si>
  <si>
    <t>ENEL DISTRIBUCION</t>
  </si>
  <si>
    <t>Reciben (montos en $)</t>
  </si>
  <si>
    <t>Pagan (montos en $)</t>
  </si>
  <si>
    <t>Cuadro de Pagos</t>
  </si>
  <si>
    <t>Montos a Transferir</t>
  </si>
  <si>
    <t>Montos a Transferir agrupado</t>
  </si>
  <si>
    <t>Montos a Transferir x empresa</t>
  </si>
  <si>
    <t xml:space="preserve"> </t>
  </si>
  <si>
    <t>Cobro</t>
  </si>
  <si>
    <t>Prorrata Cobro</t>
  </si>
  <si>
    <t>Montos Recaudados CUSSR</t>
  </si>
  <si>
    <t>Valorización producto de la aplicación del cargo unitario SSR por la empresa concesionaria de distribución</t>
  </si>
  <si>
    <t>resumen_montos_facturados_TD_AR_CDpRGL_2410pre.xlsx</t>
  </si>
  <si>
    <t>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</si>
</sst>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#,##0_ ;[Red]\-#,##0\ "/>
    <numFmt numFmtId="165" formatCode="[$-C0A]mmmm\-yy;@"/>
    <numFmt numFmtId="166" formatCode="&quot;Tasa: &quot;0.0000%"/>
    <numFmt numFmtId="167" formatCode="dd\-mm\-yyyy"/>
    <numFmt numFmtId="168" formatCode="_-* #,##0_-;\-* #,##0_-;_-* &quot;-&quot;_-;_-@_-"/>
    <numFmt numFmtId="170" formatCode="mmmm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color rgb="FFFF7C80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12"/>
      <name val="Calibri"/>
      <family val="2"/>
    </font>
    <font>
      <sz val="9"/>
      <color indexed="81"/>
      <name val="Tahoma"/>
      <family val="2"/>
    </font>
    <font>
      <sz val="20"/>
      <color rgb="FFFF0000"/>
      <name val="Calibri"/>
      <family val="2"/>
    </font>
    <font>
      <b/>
      <sz val="20"/>
      <color rgb="FFFF0000"/>
      <name val="Calibri"/>
      <family val="2"/>
    </font>
    <font>
      <sz val="10"/>
      <name val="Calibri"/>
      <family val="2"/>
    </font>
    <font>
      <sz val="10"/>
      <color theme="0" tint="-0.249977111117893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indexed="12"/>
      <name val="Calibri"/>
      <family val="2"/>
    </font>
    <font>
      <b/>
      <sz val="10"/>
      <color indexed="10"/>
      <name val="Calibri"/>
      <family val="2"/>
    </font>
    <font>
      <b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" fillId="0" borderId="0"/>
    <xf numFmtId="42" fontId="15" fillId="0" borderId="0" applyFont="0" applyFill="0" applyBorder="0" applyAlignment="0" applyProtection="0"/>
  </cellStyleXfs>
  <cellXfs count="142">
    <xf numFmtId="0" fontId="0" fillId="0" borderId="0" xfId="0"/>
    <xf numFmtId="164" fontId="0" fillId="0" borderId="0" xfId="0" applyNumberFormat="1"/>
    <xf numFmtId="41" fontId="0" fillId="0" borderId="0" xfId="1" applyFont="1"/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66" fontId="3" fillId="0" borderId="0" xfId="2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left"/>
    </xf>
    <xf numFmtId="164" fontId="5" fillId="0" borderId="1" xfId="0" applyNumberFormat="1" applyFont="1" applyBorder="1"/>
    <xf numFmtId="164" fontId="0" fillId="0" borderId="1" xfId="0" applyNumberFormat="1" applyBorder="1"/>
    <xf numFmtId="9" fontId="0" fillId="0" borderId="0" xfId="2" applyFont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1" xfId="0" applyFont="1" applyBorder="1"/>
    <xf numFmtId="0" fontId="6" fillId="0" borderId="0" xfId="0" applyFont="1"/>
    <xf numFmtId="164" fontId="6" fillId="0" borderId="0" xfId="0" applyNumberFormat="1" applyFont="1"/>
    <xf numFmtId="41" fontId="6" fillId="0" borderId="0" xfId="1" applyFont="1"/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horizontal="left"/>
    </xf>
    <xf numFmtId="164" fontId="6" fillId="2" borderId="6" xfId="0" applyNumberFormat="1" applyFont="1" applyFill="1" applyBorder="1"/>
    <xf numFmtId="164" fontId="7" fillId="0" borderId="6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/>
    <xf numFmtId="3" fontId="9" fillId="0" borderId="0" xfId="0" applyNumberFormat="1" applyFont="1"/>
    <xf numFmtId="0" fontId="3" fillId="0" borderId="1" xfId="0" applyFont="1" applyBorder="1" applyAlignment="1">
      <alignment horizontal="center" vertical="top"/>
    </xf>
    <xf numFmtId="167" fontId="3" fillId="0" borderId="1" xfId="0" applyNumberFormat="1" applyFont="1" applyBorder="1" applyAlignment="1">
      <alignment horizontal="center" vertical="top"/>
    </xf>
    <xf numFmtId="38" fontId="2" fillId="0" borderId="0" xfId="0" applyNumberFormat="1" applyFont="1"/>
    <xf numFmtId="0" fontId="10" fillId="0" borderId="0" xfId="0" applyFont="1" applyAlignment="1">
      <alignment horizontal="left" vertical="center"/>
    </xf>
    <xf numFmtId="15" fontId="11" fillId="0" borderId="0" xfId="0" applyNumberFormat="1" applyFont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13" fillId="4" borderId="0" xfId="0" applyFont="1" applyFill="1"/>
    <xf numFmtId="14" fontId="14" fillId="4" borderId="0" xfId="0" applyNumberFormat="1" applyFont="1" applyFill="1"/>
    <xf numFmtId="0" fontId="0" fillId="4" borderId="0" xfId="0" applyFill="1"/>
    <xf numFmtId="0" fontId="15" fillId="0" borderId="0" xfId="3"/>
    <xf numFmtId="164" fontId="16" fillId="0" borderId="0" xfId="3" applyNumberFormat="1" applyFont="1"/>
    <xf numFmtId="164" fontId="16" fillId="2" borderId="0" xfId="3" applyNumberFormat="1" applyFont="1" applyFill="1"/>
    <xf numFmtId="22" fontId="15" fillId="0" borderId="0" xfId="3" applyNumberFormat="1"/>
    <xf numFmtId="14" fontId="15" fillId="0" borderId="0" xfId="3" applyNumberFormat="1"/>
    <xf numFmtId="9" fontId="0" fillId="0" borderId="0" xfId="4" applyFont="1"/>
    <xf numFmtId="168" fontId="0" fillId="0" borderId="0" xfId="5" applyFont="1"/>
    <xf numFmtId="164" fontId="15" fillId="0" borderId="0" xfId="3" applyNumberFormat="1"/>
    <xf numFmtId="164" fontId="18" fillId="0" borderId="1" xfId="3" applyNumberFormat="1" applyFont="1" applyBorder="1"/>
    <xf numFmtId="0" fontId="15" fillId="0" borderId="4" xfId="3" applyBorder="1"/>
    <xf numFmtId="0" fontId="15" fillId="0" borderId="3" xfId="3" applyBorder="1"/>
    <xf numFmtId="0" fontId="8" fillId="0" borderId="2" xfId="3" applyFont="1" applyBorder="1"/>
    <xf numFmtId="164" fontId="19" fillId="0" borderId="1" xfId="3" applyNumberFormat="1" applyFont="1" applyBorder="1"/>
    <xf numFmtId="0" fontId="15" fillId="0" borderId="1" xfId="3" applyBorder="1" applyAlignment="1">
      <alignment vertical="center"/>
    </xf>
    <xf numFmtId="0" fontId="15" fillId="0" borderId="1" xfId="3" applyBorder="1" applyAlignment="1">
      <alignment vertical="center" wrapText="1"/>
    </xf>
    <xf numFmtId="3" fontId="15" fillId="0" borderId="0" xfId="3" applyNumberFormat="1"/>
    <xf numFmtId="0" fontId="8" fillId="0" borderId="1" xfId="3" applyFont="1" applyBorder="1" applyAlignment="1">
      <alignment horizontal="center"/>
    </xf>
    <xf numFmtId="0" fontId="10" fillId="0" borderId="0" xfId="3" applyFont="1" applyAlignment="1">
      <alignment horizontal="left" vertical="center"/>
    </xf>
    <xf numFmtId="15" fontId="11" fillId="0" borderId="0" xfId="3" applyNumberFormat="1" applyFont="1" applyAlignment="1">
      <alignment horizontal="left" vertical="center"/>
    </xf>
    <xf numFmtId="15" fontId="20" fillId="0" borderId="1" xfId="3" applyNumberFormat="1" applyFont="1" applyBorder="1" applyAlignment="1">
      <alignment vertical="center"/>
    </xf>
    <xf numFmtId="3" fontId="15" fillId="0" borderId="0" xfId="3" applyNumberFormat="1" applyAlignment="1">
      <alignment horizontal="center"/>
    </xf>
    <xf numFmtId="0" fontId="15" fillId="6" borderId="0" xfId="3" applyFill="1"/>
    <xf numFmtId="3" fontId="8" fillId="0" borderId="1" xfId="3" applyNumberFormat="1" applyFont="1" applyBorder="1" applyAlignment="1">
      <alignment horizontal="center"/>
    </xf>
    <xf numFmtId="3" fontId="8" fillId="0" borderId="6" xfId="3" applyNumberFormat="1" applyFont="1" applyBorder="1" applyAlignment="1">
      <alignment horizontal="center"/>
    </xf>
    <xf numFmtId="0" fontId="8" fillId="0" borderId="7" xfId="3" applyFont="1" applyBorder="1" applyAlignment="1">
      <alignment horizontal="left" indent="1"/>
    </xf>
    <xf numFmtId="164" fontId="19" fillId="0" borderId="6" xfId="3" applyNumberFormat="1" applyFont="1" applyBorder="1"/>
    <xf numFmtId="0" fontId="15" fillId="0" borderId="7" xfId="3" applyBorder="1"/>
    <xf numFmtId="164" fontId="19" fillId="0" borderId="8" xfId="3" applyNumberFormat="1" applyFont="1" applyBorder="1"/>
    <xf numFmtId="0" fontId="15" fillId="0" borderId="9" xfId="3" applyBorder="1"/>
    <xf numFmtId="164" fontId="19" fillId="0" borderId="5" xfId="3" applyNumberFormat="1" applyFont="1" applyBorder="1"/>
    <xf numFmtId="0" fontId="15" fillId="0" borderId="10" xfId="3" applyBorder="1"/>
    <xf numFmtId="17" fontId="8" fillId="0" borderId="1" xfId="3" applyNumberFormat="1" applyFont="1" applyBorder="1" applyAlignment="1">
      <alignment horizontal="center" vertical="center" wrapText="1"/>
    </xf>
    <xf numFmtId="17" fontId="8" fillId="0" borderId="5" xfId="3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left"/>
    </xf>
    <xf numFmtId="170" fontId="8" fillId="0" borderId="0" xfId="3" applyNumberFormat="1" applyFont="1" applyAlignment="1">
      <alignment horizontal="left"/>
    </xf>
    <xf numFmtId="0" fontId="8" fillId="0" borderId="0" xfId="3" applyFont="1"/>
    <xf numFmtId="3" fontId="15" fillId="0" borderId="0" xfId="3" applyNumberFormat="1" applyAlignment="1">
      <alignment horizontal="left"/>
    </xf>
    <xf numFmtId="3" fontId="21" fillId="0" borderId="1" xfId="3" applyNumberFormat="1" applyFont="1" applyBorder="1"/>
    <xf numFmtId="3" fontId="8" fillId="0" borderId="1" xfId="3" applyNumberFormat="1" applyFont="1" applyBorder="1" applyAlignment="1">
      <alignment vertical="center"/>
    </xf>
    <xf numFmtId="3" fontId="8" fillId="0" borderId="1" xfId="3" applyNumberFormat="1" applyFont="1" applyBorder="1"/>
    <xf numFmtId="3" fontId="8" fillId="0" borderId="1" xfId="3" applyNumberFormat="1" applyFont="1" applyBorder="1" applyAlignment="1">
      <alignment horizontal="left"/>
    </xf>
    <xf numFmtId="3" fontId="8" fillId="0" borderId="6" xfId="3" applyNumberFormat="1" applyFont="1" applyBorder="1" applyAlignment="1">
      <alignment horizontal="left"/>
    </xf>
    <xf numFmtId="42" fontId="15" fillId="0" borderId="0" xfId="7" applyFont="1"/>
    <xf numFmtId="3" fontId="8" fillId="6" borderId="0" xfId="3" applyNumberFormat="1" applyFont="1" applyFill="1"/>
    <xf numFmtId="0" fontId="8" fillId="6" borderId="0" xfId="3" applyFont="1" applyFill="1"/>
    <xf numFmtId="3" fontId="15" fillId="6" borderId="0" xfId="3" applyNumberFormat="1" applyFill="1"/>
    <xf numFmtId="3" fontId="8" fillId="6" borderId="1" xfId="3" applyNumberFormat="1" applyFont="1" applyFill="1" applyBorder="1"/>
    <xf numFmtId="0" fontId="8" fillId="6" borderId="1" xfId="3" applyFont="1" applyFill="1" applyBorder="1" applyAlignment="1">
      <alignment horizontal="center"/>
    </xf>
    <xf numFmtId="3" fontId="15" fillId="6" borderId="6" xfId="3" applyNumberFormat="1" applyFill="1" applyBorder="1" applyAlignment="1">
      <alignment vertical="center"/>
    </xf>
    <xf numFmtId="3" fontId="15" fillId="4" borderId="6" xfId="3" applyNumberFormat="1" applyFill="1" applyBorder="1"/>
    <xf numFmtId="3" fontId="15" fillId="6" borderId="0" xfId="3" applyNumberFormat="1" applyFill="1" applyAlignment="1">
      <alignment vertical="center"/>
    </xf>
    <xf numFmtId="0" fontId="8" fillId="6" borderId="0" xfId="3" applyFont="1" applyFill="1" applyAlignment="1">
      <alignment horizontal="left" indent="1"/>
    </xf>
    <xf numFmtId="168" fontId="15" fillId="6" borderId="0" xfId="5" applyFont="1" applyFill="1"/>
    <xf numFmtId="164" fontId="18" fillId="6" borderId="1" xfId="3" applyNumberFormat="1" applyFont="1" applyFill="1" applyBorder="1"/>
    <xf numFmtId="0" fontId="8" fillId="6" borderId="7" xfId="3" applyFont="1" applyFill="1" applyBorder="1" applyAlignment="1">
      <alignment horizontal="left" indent="1"/>
    </xf>
    <xf numFmtId="168" fontId="15" fillId="6" borderId="0" xfId="5" applyFont="1" applyFill="1" applyBorder="1"/>
    <xf numFmtId="164" fontId="19" fillId="6" borderId="6" xfId="3" applyNumberFormat="1" applyFont="1" applyFill="1" applyBorder="1"/>
    <xf numFmtId="0" fontId="15" fillId="6" borderId="7" xfId="3" applyFill="1" applyBorder="1"/>
    <xf numFmtId="164" fontId="19" fillId="6" borderId="8" xfId="3" applyNumberFormat="1" applyFont="1" applyFill="1" applyBorder="1"/>
    <xf numFmtId="0" fontId="15" fillId="6" borderId="9" xfId="3" applyFill="1" applyBorder="1"/>
    <xf numFmtId="168" fontId="15" fillId="6" borderId="9" xfId="5" applyFont="1" applyFill="1" applyBorder="1"/>
    <xf numFmtId="0" fontId="15" fillId="6" borderId="10" xfId="3" applyFill="1" applyBorder="1"/>
    <xf numFmtId="164" fontId="19" fillId="6" borderId="5" xfId="3" applyNumberFormat="1" applyFont="1" applyFill="1" applyBorder="1"/>
    <xf numFmtId="17" fontId="8" fillId="6" borderId="0" xfId="3" applyNumberFormat="1" applyFont="1" applyFill="1" applyAlignment="1">
      <alignment horizontal="left"/>
    </xf>
    <xf numFmtId="170" fontId="8" fillId="6" borderId="0" xfId="3" applyNumberFormat="1" applyFont="1" applyFill="1" applyAlignment="1">
      <alignment horizontal="left"/>
    </xf>
    <xf numFmtId="0" fontId="8" fillId="6" borderId="0" xfId="3" applyFont="1" applyFill="1" applyAlignment="1">
      <alignment horizontal="left"/>
    </xf>
    <xf numFmtId="0" fontId="8" fillId="6" borderId="6" xfId="3" applyFont="1" applyFill="1" applyBorder="1" applyAlignment="1">
      <alignment vertical="center"/>
    </xf>
    <xf numFmtId="0" fontId="8" fillId="6" borderId="5" xfId="3" applyFont="1" applyFill="1" applyBorder="1" applyAlignment="1">
      <alignment vertical="center"/>
    </xf>
    <xf numFmtId="10" fontId="18" fillId="0" borderId="1" xfId="4" applyNumberFormat="1" applyFont="1" applyBorder="1" applyAlignment="1">
      <alignment horizontal="center"/>
    </xf>
    <xf numFmtId="10" fontId="19" fillId="0" borderId="6" xfId="4" applyNumberFormat="1" applyFont="1" applyBorder="1" applyAlignment="1">
      <alignment horizontal="center"/>
    </xf>
    <xf numFmtId="10" fontId="19" fillId="0" borderId="8" xfId="4" applyNumberFormat="1" applyFont="1" applyBorder="1" applyAlignment="1">
      <alignment horizontal="center"/>
    </xf>
    <xf numFmtId="10" fontId="19" fillId="0" borderId="5" xfId="4" applyNumberFormat="1" applyFont="1" applyBorder="1" applyAlignment="1">
      <alignment horizontal="center"/>
    </xf>
    <xf numFmtId="164" fontId="18" fillId="6" borderId="0" xfId="3" applyNumberFormat="1" applyFont="1" applyFill="1"/>
    <xf numFmtId="164" fontId="19" fillId="6" borderId="0" xfId="3" applyNumberFormat="1" applyFont="1" applyFill="1"/>
    <xf numFmtId="17" fontId="8" fillId="6" borderId="0" xfId="3" applyNumberFormat="1" applyFont="1" applyFill="1" applyAlignment="1">
      <alignment horizontal="center" vertical="center" wrapText="1"/>
    </xf>
    <xf numFmtId="170" fontId="22" fillId="6" borderId="0" xfId="3" applyNumberFormat="1" applyFont="1" applyFill="1" applyAlignment="1">
      <alignment horizontal="left"/>
    </xf>
    <xf numFmtId="3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15" fillId="5" borderId="1" xfId="3" applyFill="1" applyBorder="1" applyAlignment="1">
      <alignment vertical="center"/>
    </xf>
    <xf numFmtId="15" fontId="11" fillId="0" borderId="0" xfId="3" applyNumberFormat="1" applyFont="1" applyAlignment="1">
      <alignment horizontal="left" vertical="center"/>
    </xf>
    <xf numFmtId="0" fontId="8" fillId="0" borderId="1" xfId="3" applyFont="1" applyBorder="1" applyAlignment="1">
      <alignment horizontal="center" vertical="center" wrapText="1"/>
    </xf>
    <xf numFmtId="17" fontId="8" fillId="0" borderId="5" xfId="3" applyNumberFormat="1" applyFont="1" applyBorder="1" applyAlignment="1">
      <alignment horizontal="center" vertical="center" wrapText="1"/>
    </xf>
    <xf numFmtId="17" fontId="8" fillId="0" borderId="6" xfId="3" applyNumberFormat="1" applyFont="1" applyBorder="1" applyAlignment="1">
      <alignment horizontal="center" vertical="center" wrapText="1"/>
    </xf>
    <xf numFmtId="17" fontId="8" fillId="0" borderId="8" xfId="3" applyNumberFormat="1" applyFont="1" applyBorder="1" applyAlignment="1">
      <alignment horizontal="center" vertical="center" wrapText="1"/>
    </xf>
    <xf numFmtId="0" fontId="15" fillId="0" borderId="6" xfId="3" applyBorder="1" applyAlignment="1">
      <alignment horizontal="center" vertical="center" wrapText="1"/>
    </xf>
    <xf numFmtId="17" fontId="8" fillId="6" borderId="1" xfId="3" applyNumberFormat="1" applyFont="1" applyFill="1" applyBorder="1" applyAlignment="1">
      <alignment horizontal="center" vertical="center" wrapText="1"/>
    </xf>
    <xf numFmtId="3" fontId="15" fillId="6" borderId="1" xfId="3" applyNumberFormat="1" applyFill="1" applyBorder="1" applyAlignment="1">
      <alignment horizontal="center" vertical="center"/>
    </xf>
    <xf numFmtId="3" fontId="8" fillId="6" borderId="5" xfId="3" applyNumberFormat="1" applyFont="1" applyFill="1" applyBorder="1" applyAlignment="1">
      <alignment horizontal="center" vertical="center"/>
    </xf>
    <xf numFmtId="0" fontId="15" fillId="6" borderId="6" xfId="3" applyFill="1" applyBorder="1" applyAlignment="1">
      <alignment horizontal="center" vertical="center"/>
    </xf>
    <xf numFmtId="17" fontId="8" fillId="6" borderId="5" xfId="3" applyNumberFormat="1" applyFont="1" applyFill="1" applyBorder="1" applyAlignment="1">
      <alignment horizontal="center" vertical="center" wrapText="1"/>
    </xf>
    <xf numFmtId="17" fontId="8" fillId="6" borderId="6" xfId="3" applyNumberFormat="1" applyFont="1" applyFill="1" applyBorder="1" applyAlignment="1">
      <alignment horizontal="center" vertical="center" wrapText="1"/>
    </xf>
    <xf numFmtId="3" fontId="8" fillId="6" borderId="2" xfId="3" applyNumberFormat="1" applyFont="1" applyFill="1" applyBorder="1" applyAlignment="1">
      <alignment horizontal="center" vertical="center"/>
    </xf>
    <xf numFmtId="3" fontId="8" fillId="6" borderId="3" xfId="3" applyNumberFormat="1" applyFont="1" applyFill="1" applyBorder="1" applyAlignment="1">
      <alignment horizontal="center" vertical="center"/>
    </xf>
    <xf numFmtId="3" fontId="8" fillId="6" borderId="4" xfId="3" applyNumberFormat="1" applyFont="1" applyFill="1" applyBorder="1" applyAlignment="1">
      <alignment horizontal="center" vertical="center"/>
    </xf>
    <xf numFmtId="0" fontId="15" fillId="0" borderId="0" xfId="3" applyFill="1"/>
  </cellXfs>
  <cellStyles count="8">
    <cellStyle name="Millares [0]" xfId="1" builtinId="6"/>
    <cellStyle name="Millares [0] 2" xfId="5" xr:uid="{E9B8AF94-D51A-4EBD-BAF7-FB06108DE16D}"/>
    <cellStyle name="Moneda [0] 2" xfId="7" xr:uid="{FE1FB023-139A-46BE-BB93-1D3E06B2FE28}"/>
    <cellStyle name="Normal" xfId="0" builtinId="0"/>
    <cellStyle name="Normal 2" xfId="3" xr:uid="{F8544548-DCA5-4F4F-8707-FD64FDF74BF7}"/>
    <cellStyle name="Normal 3" xfId="6" xr:uid="{6743470E-EA9F-477B-9285-41E2FA67CC54}"/>
    <cellStyle name="Porcentaje" xfId="2" builtinId="5"/>
    <cellStyle name="Porcentaje 2" xfId="4" xr:uid="{30346872-CD5E-4F22-A8D0-A9CE2412BC5C}"/>
  </cellStyles>
  <dxfs count="3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men_ETR_2410_(2311-2410)_de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s"/>
      <sheetName val="MFETR"/>
      <sheetName val="EMPRESAS"/>
      <sheetName val="CPETR"/>
      <sheetName val="IPC"/>
      <sheetName val="Resumen_ETR_2410_(2311-2410)_de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ubén Osvaldo  Sanhueza Ramirez" refreshedDate="45623.577695949076" backgroundQuery="1" createdVersion="6" refreshedVersion="7" minRefreshableVersion="3" recordCount="0" supportSubquery="1" supportAdvancedDrill="1" xr:uid="{FF5CF530-539F-44AA-889D-5D9CB76C4820}">
  <cacheSource type="external" connectionId="2"/>
  <cacheFields count="7">
    <cacheField name="[TEE].[FILA].[FILA]" caption="FILA" numFmtId="0" hierarchy="5" level="1">
      <sharedItems count="1">
        <s v="Fila"/>
      </sharedItems>
    </cacheField>
    <cacheField name="[TEE].[Nemotecnico Deudor].[Nemotecnico Deudor]" caption="Nemotecnico Deudor" numFmtId="0" hierarchy="6" level="1">
      <sharedItems count="9">
        <s v="CGE"/>
        <s v="CHILQUINTA"/>
        <s v="EDECSA"/>
        <s v="EDELMAG"/>
        <s v="EEC"/>
        <s v="EEPA"/>
        <s v="ENEL DISTRIBUCIÓN"/>
        <s v="LITORAL"/>
        <s v="SAESA"/>
      </sharedItems>
    </cacheField>
    <cacheField name="[TEE].[RUT Deudor].[RUT Deudor]" caption="RUT Deudor" numFmtId="0" hierarchy="7" level="1">
      <sharedItems count="9">
        <s v="76.411.321-7"/>
        <s v="96.813.520-1"/>
        <s v="96.766.110-4"/>
        <s v="88.221.200-9"/>
        <s v="96.783.910-8"/>
        <s v="80.313.300-K"/>
        <s v="96.800.570-7"/>
        <s v="91.344.000-5"/>
        <s v="76.073.162-5"/>
      </sharedItems>
    </cacheField>
    <cacheField name="[TEE].[COLUMNA].[COLUMNA]" caption="COLUMNA" numFmtId="0" hierarchy="8" level="1">
      <sharedItems count="1">
        <s v="Columna"/>
      </sharedItems>
    </cacheField>
    <cacheField name="[TEE].[Nemotecnico Acreedor].[Nemotecnico Acreedor]" caption="Nemotecnico Acreedor" numFmtId="0" hierarchy="9" level="1">
      <sharedItems count="17">
        <s v="CEC"/>
        <s v="CODINER"/>
        <s v="COELCHA"/>
        <s v="COOPELAN"/>
        <s v="COOPREL"/>
        <s v="COPELEC"/>
        <s v="CRELL"/>
        <s v="DESA"/>
        <s v="EDELAYSÉN"/>
        <s v="EMELCA"/>
        <s v="FRONTEL"/>
        <s v="LUZ OSORNO"/>
        <s v="LUZLINARES"/>
        <s v="LUZPARRAL"/>
        <s v="MATAQUITO"/>
        <s v="SOCOEPA"/>
        <s v="TIL TIL"/>
      </sharedItems>
    </cacheField>
    <cacheField name="[TEE].[RUT Acreedor].[RUT Acreedor]" caption="RUT Acreedor" numFmtId="0" hierarchy="10" level="1">
      <sharedItems count="17">
        <s v="70.287.900-0"/>
        <s v="78.397.530-0"/>
        <s v="80.238.000-3"/>
        <s v="81.585.900-6"/>
        <s v="81.388.600-6"/>
        <s v="80.237.700-2"/>
        <s v="81.106.900-0"/>
        <s v="77.504.335-0"/>
        <s v="88.272.600-2"/>
        <s v="81.577.400-0"/>
        <s v="76.073.164-1"/>
        <s v="96.531.500-4"/>
        <s v="96.884.450-4"/>
        <s v="96.866.680-0"/>
        <s v="76.808.157-3"/>
        <s v="81.629.800-8"/>
        <s v="70.849.500-K"/>
      </sharedItems>
    </cacheField>
    <cacheField name="[Measures].[Suma de Monto02]" caption="Suma de Monto02" numFmtId="0" hierarchy="15" level="32767"/>
  </cacheFields>
  <cacheHierarchies count="16">
    <cacheHierarchy uniqueName="[RUT].[EMPRESA]" caption="EMPRESA" attribute="1" defaultMemberUniqueName="[RUT].[EMPRESA].[All]" allUniqueName="[RUT].[EMPRESA].[All]" dimensionUniqueName="[RUT]" displayFolder="" count="0" memberValueDatatype="130" unbalanced="0"/>
    <cacheHierarchy uniqueName="[RUT].[RUT]" caption="RUT" attribute="1" defaultMemberUniqueName="[RUT].[RUT].[All]" allUniqueName="[RUT].[RUT].[All]" dimensionUniqueName="[RUT]" displayFolder="" count="0" memberValueDatatype="130" unbalanced="0"/>
    <cacheHierarchy uniqueName="[TEE].[Reciben]" caption="Reciben" attribute="1" defaultMemberUniqueName="[TEE].[Reciben].[All]" allUniqueName="[TEE].[Reciben].[All]" dimensionUniqueName="[TEE]" displayFolder="" count="0" memberValueDatatype="130" unbalanced="0"/>
    <cacheHierarchy uniqueName="[TEE].[Pagan]" caption="Pagan" attribute="1" defaultMemberUniqueName="[TEE].[Pagan].[All]" allUniqueName="[TEE].[Pagan].[All]" dimensionUniqueName="[TEE]" displayFolder="" count="0" memberValueDatatype="130" unbalanced="0"/>
    <cacheHierarchy uniqueName="[TEE].[Valor01]" caption="Valor01" attribute="1" defaultMemberUniqueName="[TEE].[Valor01].[All]" allUniqueName="[TEE].[Valor01].[All]" dimensionUniqueName="[TEE]" displayFolder="" count="0" memberValueDatatype="5" unbalanced="0"/>
    <cacheHierarchy uniqueName="[TEE].[FILA]" caption="FILA" attribute="1" defaultMemberUniqueName="[TEE].[FILA].[All]" allUniqueName="[TEE].[FILA].[All]" dimensionUniqueName="[TEE]" displayFolder="" count="2" memberValueDatatype="130" unbalanced="0">
      <fieldsUsage count="2">
        <fieldUsage x="-1"/>
        <fieldUsage x="0"/>
      </fieldsUsage>
    </cacheHierarchy>
    <cacheHierarchy uniqueName="[TEE].[Nemotecnico Deudor]" caption="Nemotecnico Deudor" attribute="1" defaultMemberUniqueName="[TEE].[Nemotecnico Deudor].[All]" allUniqueName="[TEE].[Nemotecnico Deudor].[All]" dimensionUniqueName="[TEE]" displayFolder="" count="2" memberValueDatatype="130" unbalanced="0">
      <fieldsUsage count="2">
        <fieldUsage x="-1"/>
        <fieldUsage x="1"/>
      </fieldsUsage>
    </cacheHierarchy>
    <cacheHierarchy uniqueName="[TEE].[RUT Deudor]" caption="RUT Deudor" attribute="1" defaultMemberUniqueName="[TEE].[RUT Deudor].[All]" allUniqueName="[TEE].[RUT Deudor].[All]" dimensionUniqueName="[TEE]" displayFolder="" count="2" memberValueDatatype="130" unbalanced="0">
      <fieldsUsage count="2">
        <fieldUsage x="-1"/>
        <fieldUsage x="2"/>
      </fieldsUsage>
    </cacheHierarchy>
    <cacheHierarchy uniqueName="[TEE].[COLUMNA]" caption="COLUMNA" attribute="1" defaultMemberUniqueName="[TEE].[COLUMNA].[All]" allUniqueName="[TEE].[COLUMNA].[All]" dimensionUniqueName="[TEE]" displayFolder="" count="2" memberValueDatatype="130" unbalanced="0">
      <fieldsUsage count="2">
        <fieldUsage x="-1"/>
        <fieldUsage x="3"/>
      </fieldsUsage>
    </cacheHierarchy>
    <cacheHierarchy uniqueName="[TEE].[Nemotecnico Acreedor]" caption="Nemotecnico Acreedor" attribute="1" defaultMemberUniqueName="[TEE].[Nemotecnico Acreedor].[All]" allUniqueName="[TEE].[Nemotecnico Acreedor].[All]" dimensionUniqueName="[TEE]" displayFolder="" count="2" memberValueDatatype="130" unbalanced="0">
      <fieldsUsage count="2">
        <fieldUsage x="-1"/>
        <fieldUsage x="4"/>
      </fieldsUsage>
    </cacheHierarchy>
    <cacheHierarchy uniqueName="[TEE].[RUT Acreedor]" caption="RUT Acreedor" attribute="1" defaultMemberUniqueName="[TEE].[RUT Acreedor].[All]" allUniqueName="[TEE].[RUT Acreedor].[All]" dimensionUniqueName="[TEE]" displayFolder="" count="2" memberValueDatatype="130" unbalanced="0">
      <fieldsUsage count="2">
        <fieldUsage x="-1"/>
        <fieldUsage x="5"/>
      </fieldsUsage>
    </cacheHierarchy>
    <cacheHierarchy uniqueName="[TEE].[Monto02]" caption="Monto02" attribute="1" defaultMemberUniqueName="[TEE].[Monto02].[All]" allUniqueName="[TEE].[Monto02].[All]" dimensionUniqueName="[TEE]" displayFolder="" count="0" memberValueDatatype="5" unbalanced="0"/>
    <cacheHierarchy uniqueName="[Measures].[__XL_Count TEE]" caption="__XL_Count TEE" measure="1" displayFolder="" measureGroup="TEE" count="0" hidden="1"/>
    <cacheHierarchy uniqueName="[Measures].[__XL_Count RUT]" caption="__XL_Count RUT" measure="1" displayFolder="" measureGroup="RUT" count="0" hidden="1"/>
    <cacheHierarchy uniqueName="[Measures].[__No measures defined]" caption="__No measures defined" measure="1" displayFolder="" count="0" hidden="1"/>
    <cacheHierarchy uniqueName="[Measures].[Suma de Monto02]" caption="Suma de Monto02" measure="1" displayFolder="" measureGroup="TEE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</cacheHierarchies>
  <kpis count="0"/>
  <dimensions count="3">
    <dimension measure="1" name="Measures" uniqueName="[Measures]" caption="Measures"/>
    <dimension name="RUT" uniqueName="[RUT]" caption="RUT"/>
    <dimension name="TEE" uniqueName="[TEE]" caption="TEE"/>
  </dimensions>
  <measureGroups count="2">
    <measureGroup name="RUT" caption="RUT"/>
    <measureGroup name="TEE" caption="TEE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BB54BD-A989-4B1B-8934-574ED0243D54}" name="TablaDinámica1" cacheId="0" applyNumberFormats="0" applyBorderFormats="0" applyFontFormats="0" applyPatternFormats="0" applyAlignmentFormats="0" applyWidthHeightFormats="1" dataCaption="Valores" tag="4a47a454-c155-4cbf-94c7-b04478d5bc98" updatedVersion="7" minRefreshableVersion="3" useAutoFormatting="1" subtotalHiddenItems="1" rowGrandTotals="0" itemPrintTitles="1" createdVersion="6" indent="0" compact="0" compactData="0" multipleFieldFilters="0">
  <location ref="A6:G159" firstHeaderRow="1" firstDataRow="1" firstDataCol="6"/>
  <pivotFields count="7"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2"/>
    <field x="3"/>
    <field x="4"/>
    <field x="5"/>
  </rowFields>
  <rowItems count="153">
    <i>
      <x/>
      <x/>
      <x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1">
      <x v="1"/>
      <x v="1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1">
      <x v="2"/>
      <x v="2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1">
      <x v="3"/>
      <x v="3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1">
      <x v="4"/>
      <x v="4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1">
      <x v="5"/>
      <x v="5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1">
      <x v="6"/>
      <x v="6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1">
      <x v="7"/>
      <x v="7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1">
      <x v="8"/>
      <x v="8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</rowItems>
  <colItems count="1">
    <i/>
  </colItems>
  <dataFields count="1">
    <dataField name="Monto" fld="6" baseField="5" baseItem="2"/>
  </dataField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Monto"/>
  </pivotHierarchies>
  <pivotTableStyleInfo name="PivotStyleLight16" showRowHeaders="1" showColHeaders="1" showRowStripes="0" showColStripes="0" showLastColumn="1"/>
  <rowHierarchiesUsage count="6">
    <rowHierarchyUsage hierarchyUsage="5"/>
    <rowHierarchyUsage hierarchyUsage="6"/>
    <rowHierarchyUsage hierarchyUsage="7"/>
    <rowHierarchyUsage hierarchyUsage="8"/>
    <rowHierarchyUsage hierarchyUsage="9"/>
    <rowHierarchyUsage hierarchyUsage="10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E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818E44-EC62-4EB7-A6E1-F86E22AA88B8}" name="RUT" displayName="RUT" ref="C2:D29" totalsRowShown="0" headerRowDxfId="2" headerRowBorderDxfId="1" tableBorderDxfId="0">
  <autoFilter ref="C2:D29" xr:uid="{9B08513D-F961-4B83-9426-764619CDA1A1}"/>
  <tableColumns count="2">
    <tableColumn id="1" xr3:uid="{A4999D5A-EE44-45E9-BD0F-4DB4C587D318}" name="EMPRESA"/>
    <tableColumn id="2" xr3:uid="{89D4CE47-1177-4508-BAA7-35F81FFDB039}" name="RU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94D6-66FB-48C2-BC7E-35371D6053D9}">
  <sheetPr codeName="Hoja1">
    <pageSetUpPr fitToPage="1"/>
  </sheetPr>
  <dimension ref="A1:Y73"/>
  <sheetViews>
    <sheetView showGridLines="0" tabSelected="1" zoomScale="65" zoomScaleNormal="65" workbookViewId="0"/>
  </sheetViews>
  <sheetFormatPr baseColWidth="10" defaultRowHeight="15" x14ac:dyDescent="0.25"/>
  <cols>
    <col min="1" max="1" width="14.140625" customWidth="1"/>
    <col min="2" max="2" width="26.7109375" customWidth="1"/>
    <col min="3" max="3" width="19.5703125" bestFit="1" customWidth="1"/>
    <col min="4" max="4" width="18" bestFit="1" customWidth="1"/>
    <col min="5" max="5" width="16" bestFit="1" customWidth="1"/>
    <col min="6" max="8" width="15" bestFit="1" customWidth="1"/>
    <col min="9" max="9" width="14.7109375" bestFit="1" customWidth="1"/>
    <col min="10" max="10" width="16" bestFit="1" customWidth="1"/>
    <col min="11" max="11" width="16.7109375" customWidth="1"/>
    <col min="12" max="12" width="18" bestFit="1" customWidth="1"/>
    <col min="13" max="13" width="17" customWidth="1"/>
    <col min="14" max="14" width="17.85546875" bestFit="1" customWidth="1"/>
    <col min="15" max="15" width="19.5703125" bestFit="1" customWidth="1"/>
    <col min="16" max="16" width="18.85546875" bestFit="1" customWidth="1"/>
    <col min="17" max="17" width="18.5703125" bestFit="1" customWidth="1"/>
    <col min="18" max="18" width="22.7109375" bestFit="1" customWidth="1"/>
    <col min="19" max="19" width="20.42578125" bestFit="1" customWidth="1"/>
    <col min="20" max="20" width="24.85546875" bestFit="1" customWidth="1"/>
    <col min="21" max="21" width="18.5703125" bestFit="1" customWidth="1"/>
    <col min="22" max="22" width="20.140625" customWidth="1"/>
    <col min="23" max="24" width="17.7109375" customWidth="1"/>
    <col min="25" max="25" width="28.5703125" style="2" customWidth="1"/>
    <col min="26" max="26" width="15.140625" bestFit="1" customWidth="1"/>
    <col min="27" max="27" width="16.5703125" customWidth="1"/>
  </cols>
  <sheetData>
    <row r="1" spans="1:25" x14ac:dyDescent="0.25">
      <c r="G1" s="1"/>
    </row>
    <row r="2" spans="1:25" x14ac:dyDescent="0.25">
      <c r="B2" s="3" t="s">
        <v>0</v>
      </c>
    </row>
    <row r="3" spans="1:25" x14ac:dyDescent="0.25">
      <c r="B3" s="4">
        <v>45566</v>
      </c>
      <c r="K3" s="5"/>
      <c r="L3" s="5"/>
    </row>
    <row r="4" spans="1:25" ht="13.5" customHeight="1" x14ac:dyDescent="0.25">
      <c r="B4" s="6">
        <v>9.7570308016070584E-3</v>
      </c>
    </row>
    <row r="5" spans="1:25" ht="49.5" customHeight="1" x14ac:dyDescent="0.25">
      <c r="C5" s="7" t="s">
        <v>1</v>
      </c>
      <c r="D5" s="7" t="s">
        <v>2</v>
      </c>
      <c r="R5" s="8" t="s">
        <v>3</v>
      </c>
      <c r="S5" s="8" t="s">
        <v>4</v>
      </c>
      <c r="T5" s="8" t="s">
        <v>5</v>
      </c>
      <c r="U5" s="8" t="s">
        <v>6</v>
      </c>
    </row>
    <row r="6" spans="1:25" x14ac:dyDescent="0.25">
      <c r="B6" s="9" t="s">
        <v>7</v>
      </c>
      <c r="C6" s="9" t="s">
        <v>8</v>
      </c>
      <c r="D6" s="9" t="s">
        <v>8</v>
      </c>
      <c r="E6" s="10" t="str">
        <f>+TEXT(YEAR(MFETR!B1)-2000,"00")&amp;TEXT(MONTH(MFETR!B1),"00")</f>
        <v>2311</v>
      </c>
      <c r="F6" s="10" t="str">
        <f>+TEXT(YEAR(MFETR!C1)-2000,"00")&amp;TEXT(MONTH(MFETR!C1),"00")</f>
        <v>2312</v>
      </c>
      <c r="G6" s="10" t="str">
        <f>+TEXT(YEAR(MFETR!D1)-2000,"00")&amp;TEXT(MONTH(MFETR!D1),"00")</f>
        <v>2401</v>
      </c>
      <c r="H6" s="10" t="str">
        <f>+TEXT(YEAR(MFETR!E1)-2000,"00")&amp;TEXT(MONTH(MFETR!E1),"00")</f>
        <v>2402</v>
      </c>
      <c r="I6" s="10" t="str">
        <f>+TEXT(YEAR(MFETR!F1)-2000,"00")&amp;TEXT(MONTH(MFETR!F1),"00")</f>
        <v>2403</v>
      </c>
      <c r="J6" s="10" t="str">
        <f>+TEXT(YEAR(MFETR!G1)-2000,"00")&amp;TEXT(MONTH(MFETR!G1),"00")</f>
        <v>2404</v>
      </c>
      <c r="K6" s="10" t="str">
        <f>+TEXT(YEAR(MFETR!H1)-2000,"00")&amp;TEXT(MONTH(MFETR!H1),"00")</f>
        <v>2405</v>
      </c>
      <c r="L6" s="10" t="str">
        <f>+TEXT(YEAR(MFETR!I1)-2000,"00")&amp;TEXT(MONTH(MFETR!I1),"00")</f>
        <v>2406</v>
      </c>
      <c r="M6" s="10" t="str">
        <f>+TEXT(YEAR(MFETR!J1)-2000,"00")&amp;TEXT(MONTH(MFETR!J1),"00")</f>
        <v>2407</v>
      </c>
      <c r="N6" s="10" t="str">
        <f>+TEXT(YEAR(MFETR!K1)-2000,"00")&amp;TEXT(MONTH(MFETR!K1),"00")</f>
        <v>2408</v>
      </c>
      <c r="O6" s="10" t="str">
        <f>+TEXT(YEAR(MFETR!L1)-2000,"00")&amp;TEXT(MONTH(MFETR!L1),"00")</f>
        <v>2409</v>
      </c>
      <c r="P6" s="10" t="str">
        <f>+TEXT(YEAR(MFETR!M1)-2000,"00")&amp;TEXT(MONTH(MFETR!M1),"00")</f>
        <v>2410</v>
      </c>
      <c r="Q6" s="8" t="s">
        <v>9</v>
      </c>
      <c r="R6" s="8" t="s">
        <v>8</v>
      </c>
      <c r="S6" s="8" t="s">
        <v>8</v>
      </c>
      <c r="T6" s="8" t="s">
        <v>8</v>
      </c>
      <c r="U6" s="8" t="s">
        <v>8</v>
      </c>
      <c r="Y6"/>
    </row>
    <row r="7" spans="1:25" x14ac:dyDescent="0.25">
      <c r="A7" s="11" t="s">
        <v>10</v>
      </c>
      <c r="B7" s="12" t="s">
        <v>10</v>
      </c>
      <c r="C7" s="13">
        <v>0</v>
      </c>
      <c r="D7" s="13"/>
      <c r="E7" s="14">
        <f>+SUMIF(MFETR!$A:$A,$B7,MFETR!B:B)</f>
        <v>0</v>
      </c>
      <c r="F7" s="14">
        <f>+SUMIF(MFETR!$A:$A,$B7,MFETR!C:C)</f>
        <v>0</v>
      </c>
      <c r="G7" s="14">
        <f>+SUMIF(MFETR!$A:$A,$B7,MFETR!D:D)</f>
        <v>0</v>
      </c>
      <c r="H7" s="14">
        <f>+SUMIF(MFETR!$A:$A,$B7,MFETR!E:E)</f>
        <v>0</v>
      </c>
      <c r="I7" s="14">
        <f>+SUMIF(MFETR!$A:$A,$B7,MFETR!F:F)</f>
        <v>0</v>
      </c>
      <c r="J7" s="14">
        <f>+SUMIF(MFETR!$A:$A,$B7,MFETR!G:G)</f>
        <v>0</v>
      </c>
      <c r="K7" s="14">
        <f>+SUMIF(MFETR!$A:$A,$B7,MFETR!H:H)</f>
        <v>0</v>
      </c>
      <c r="L7" s="14">
        <f>+SUMIF(MFETR!$A:$A,$B7,MFETR!I:I)</f>
        <v>0</v>
      </c>
      <c r="M7" s="14">
        <f>+SUMIF(MFETR!$A:$A,$B7,MFETR!J:J)</f>
        <v>0</v>
      </c>
      <c r="N7" s="14">
        <f>+SUMIF(MFETR!$A:$A,$B7,MFETR!K:K)</f>
        <v>0</v>
      </c>
      <c r="O7" s="14">
        <f>+SUMIF(MFETR!$A:$A,$B7,MFETR!L:L)</f>
        <v>-82721155.078827292</v>
      </c>
      <c r="P7" s="14">
        <f>+SUMIF(MFETR!$A:$A,$B7,MFETR!M:M)</f>
        <v>0</v>
      </c>
      <c r="Q7" s="14">
        <f t="shared" ref="Q7:Q40" si="0">+(C7+D7)*(1+$B$4)+SUM(E7:P7)</f>
        <v>-82721155.078827292</v>
      </c>
      <c r="R7" s="14">
        <f t="shared" ref="R7:R40" si="1">+IF(Q7&gt;=0,Q7,0)</f>
        <v>0</v>
      </c>
      <c r="S7" s="14">
        <f t="shared" ref="S7:S40" si="2">+IF(Q7&lt;0,-Q7,0)</f>
        <v>82721155.078827292</v>
      </c>
      <c r="T7" s="14">
        <f t="shared" ref="T7:T40" si="3">IF(OR($R$41=0,$S$41=0),0,(S7/$S$41-R7/$R$41)*$S$45)</f>
        <v>82721155.078827292</v>
      </c>
      <c r="U7" s="14">
        <f t="shared" ref="U7:U40" si="4">+T7+Q7</f>
        <v>0</v>
      </c>
      <c r="V7" s="1"/>
      <c r="W7" s="1"/>
      <c r="X7" s="1"/>
      <c r="Y7" s="15"/>
    </row>
    <row r="8" spans="1:25" x14ac:dyDescent="0.25">
      <c r="A8" s="11" t="s">
        <v>11</v>
      </c>
      <c r="B8" s="12" t="s">
        <v>12</v>
      </c>
      <c r="C8" s="13">
        <v>182203412.64731741</v>
      </c>
      <c r="D8" s="13">
        <v>-903512715.24480915</v>
      </c>
      <c r="E8" s="14">
        <f>+SUMIF(MFETR!$A:$A,$B8,MFETR!B:B)</f>
        <v>293529.05234380369</v>
      </c>
      <c r="F8" s="14">
        <f>+SUMIF(MFETR!$A:$A,$B8,MFETR!C:C)</f>
        <v>1328430.672737547</v>
      </c>
      <c r="G8" s="14">
        <f>+SUMIF(MFETR!$A:$A,$B8,MFETR!D:D)</f>
        <v>961257.86769462633</v>
      </c>
      <c r="H8" s="14">
        <f>+SUMIF(MFETR!$A:$A,$B8,MFETR!E:E)</f>
        <v>1039241.395026046</v>
      </c>
      <c r="I8" s="14">
        <f>+SUMIF(MFETR!$A:$A,$B8,MFETR!F:F)</f>
        <v>1274483.1711798541</v>
      </c>
      <c r="J8" s="14">
        <f>+SUMIF(MFETR!$A:$A,$B8,MFETR!G:G)</f>
        <v>1616784.125704335</v>
      </c>
      <c r="K8" s="14">
        <f>+SUMIF(MFETR!$A:$A,$B8,MFETR!H:H)</f>
        <v>3396985.0393663291</v>
      </c>
      <c r="L8" s="14">
        <f>+SUMIF(MFETR!$A:$A,$B8,MFETR!I:I)</f>
        <v>4709019.0820974642</v>
      </c>
      <c r="M8" s="14">
        <f>+SUMIF(MFETR!$A:$A,$B8,MFETR!J:J)</f>
        <v>8767532.226830788</v>
      </c>
      <c r="N8" s="14">
        <f>+SUMIF(MFETR!$A:$A,$B8,MFETR!K:K)</f>
        <v>177057646.28357089</v>
      </c>
      <c r="O8" s="14">
        <f>+SUMIF(MFETR!$A:$A,$B8,MFETR!L:L)</f>
        <v>1877924307.7918479</v>
      </c>
      <c r="P8" s="14">
        <f>+SUMIF(MFETR!$A:$A,$B8,MFETR!M:M)</f>
        <v>599346459.04876435</v>
      </c>
      <c r="Q8" s="14">
        <f t="shared" si="0"/>
        <v>1949368536.0767426</v>
      </c>
      <c r="R8" s="14">
        <f t="shared" si="1"/>
        <v>1949368536.0767426</v>
      </c>
      <c r="S8" s="14">
        <f t="shared" si="2"/>
        <v>0</v>
      </c>
      <c r="T8" s="14">
        <f t="shared" si="3"/>
        <v>-1844705442.9384143</v>
      </c>
      <c r="U8" s="14">
        <f t="shared" si="4"/>
        <v>104663093.13832831</v>
      </c>
      <c r="V8" s="1"/>
      <c r="W8" s="1"/>
      <c r="X8" s="1"/>
      <c r="Y8" s="15"/>
    </row>
    <row r="9" spans="1:25" x14ac:dyDescent="0.25">
      <c r="A9" s="11" t="s">
        <v>13</v>
      </c>
      <c r="B9" s="12" t="s">
        <v>13</v>
      </c>
      <c r="C9" s="13">
        <v>188214059.19130516</v>
      </c>
      <c r="D9" s="13"/>
      <c r="E9" s="14">
        <f>+SUMIF(MFETR!$A:$A,$B9,MFETR!B:B)</f>
        <v>1804596.6938951979</v>
      </c>
      <c r="F9" s="14">
        <f>+SUMIF(MFETR!$A:$A,$B9,MFETR!C:C)</f>
        <v>2190611.460908181</v>
      </c>
      <c r="G9" s="14">
        <f>+SUMIF(MFETR!$A:$A,$B9,MFETR!D:D)</f>
        <v>2540263.2732927031</v>
      </c>
      <c r="H9" s="14">
        <f>+SUMIF(MFETR!$A:$A,$B9,MFETR!E:E)</f>
        <v>3258587.9027220262</v>
      </c>
      <c r="I9" s="14">
        <f>+SUMIF(MFETR!$A:$A,$B9,MFETR!F:F)</f>
        <v>3551640.585070699</v>
      </c>
      <c r="J9" s="14">
        <f>+SUMIF(MFETR!$A:$A,$B9,MFETR!G:G)</f>
        <v>6730724.6208111206</v>
      </c>
      <c r="K9" s="14">
        <f>+SUMIF(MFETR!$A:$A,$B9,MFETR!H:H)</f>
        <v>9502322.6556275841</v>
      </c>
      <c r="L9" s="14">
        <f>+SUMIF(MFETR!$A:$A,$B9,MFETR!I:I)</f>
        <v>11548054.215305369</v>
      </c>
      <c r="M9" s="14">
        <f>+SUMIF(MFETR!$A:$A,$B9,MFETR!J:J)</f>
        <v>16922202.114917189</v>
      </c>
      <c r="N9" s="14">
        <f>+SUMIF(MFETR!$A:$A,$B9,MFETR!K:K)</f>
        <v>186845616.70718622</v>
      </c>
      <c r="O9" s="14">
        <f>+SUMIF(MFETR!$A:$A,$B9,MFETR!L:L)</f>
        <v>1905234484.7344177</v>
      </c>
      <c r="P9" s="14">
        <f>+SUMIF(MFETR!$A:$A,$B9,MFETR!M:M)</f>
        <v>696787277.16665494</v>
      </c>
      <c r="Q9" s="14">
        <f t="shared" si="0"/>
        <v>3036966851.6949391</v>
      </c>
      <c r="R9" s="14">
        <f t="shared" si="1"/>
        <v>3036966851.6949391</v>
      </c>
      <c r="S9" s="14">
        <f t="shared" si="2"/>
        <v>0</v>
      </c>
      <c r="T9" s="14">
        <f t="shared" si="3"/>
        <v>-2873909770.0942078</v>
      </c>
      <c r="U9" s="14">
        <f t="shared" si="4"/>
        <v>163057081.60073137</v>
      </c>
      <c r="V9" s="1"/>
      <c r="W9" s="1"/>
      <c r="X9" s="1"/>
      <c r="Y9" s="15"/>
    </row>
    <row r="10" spans="1:25" x14ac:dyDescent="0.25">
      <c r="A10" s="11" t="s">
        <v>14</v>
      </c>
      <c r="B10" s="12" t="s">
        <v>14</v>
      </c>
      <c r="C10" s="13">
        <v>48774067.84987545</v>
      </c>
      <c r="D10" s="13"/>
      <c r="E10" s="14">
        <f>+SUMIF(MFETR!$A:$A,$B10,MFETR!B:B)</f>
        <v>-7959.7938097710594</v>
      </c>
      <c r="F10" s="14">
        <f>+SUMIF(MFETR!$A:$A,$B10,MFETR!C:C)</f>
        <v>-7601.786999261396</v>
      </c>
      <c r="G10" s="14">
        <f>+SUMIF(MFETR!$A:$A,$B10,MFETR!D:D)</f>
        <v>142877.57473929529</v>
      </c>
      <c r="H10" s="14">
        <f>+SUMIF(MFETR!$A:$A,$B10,MFETR!E:E)</f>
        <v>157806.91102535219</v>
      </c>
      <c r="I10" s="14">
        <f>+SUMIF(MFETR!$A:$A,$B10,MFETR!F:F)</f>
        <v>215973.1265828106</v>
      </c>
      <c r="J10" s="14">
        <f>+SUMIF(MFETR!$A:$A,$B10,MFETR!G:G)</f>
        <v>161253.13690973361</v>
      </c>
      <c r="K10" s="14">
        <f>+SUMIF(MFETR!$A:$A,$B10,MFETR!H:H)</f>
        <v>91614.747468868067</v>
      </c>
      <c r="L10" s="14">
        <f>+SUMIF(MFETR!$A:$A,$B10,MFETR!I:I)</f>
        <v>262166.23647564743</v>
      </c>
      <c r="M10" s="14">
        <f>+SUMIF(MFETR!$A:$A,$B10,MFETR!J:J)</f>
        <v>-83526.323336464658</v>
      </c>
      <c r="N10" s="14">
        <f>+SUMIF(MFETR!$A:$A,$B10,MFETR!K:K)</f>
        <v>24822923.080010939</v>
      </c>
      <c r="O10" s="14">
        <f>+SUMIF(MFETR!$A:$A,$B10,MFETR!L:L)</f>
        <v>431319711.22203761</v>
      </c>
      <c r="P10" s="14">
        <f>+SUMIF(MFETR!$A:$A,$B10,MFETR!M:M)</f>
        <v>74256205.306939811</v>
      </c>
      <c r="Q10" s="14">
        <f t="shared" si="0"/>
        <v>580581401.37025094</v>
      </c>
      <c r="R10" s="14">
        <f t="shared" si="1"/>
        <v>580581401.37025094</v>
      </c>
      <c r="S10" s="14">
        <f t="shared" si="2"/>
        <v>0</v>
      </c>
      <c r="T10" s="14">
        <f t="shared" si="3"/>
        <v>-549409540.2462939</v>
      </c>
      <c r="U10" s="14">
        <f t="shared" si="4"/>
        <v>31171861.123957038</v>
      </c>
      <c r="V10" s="1"/>
      <c r="W10" s="1"/>
      <c r="X10" s="1"/>
      <c r="Y10" s="15"/>
    </row>
    <row r="11" spans="1:25" x14ac:dyDescent="0.25">
      <c r="A11" s="11" t="s">
        <v>15</v>
      </c>
      <c r="B11" s="12" t="s">
        <v>15</v>
      </c>
      <c r="C11" s="13">
        <v>0</v>
      </c>
      <c r="D11" s="13"/>
      <c r="E11" s="14">
        <f>+SUMIF(MFETR!$A:$A,$B11,MFETR!B:B)</f>
        <v>0</v>
      </c>
      <c r="F11" s="14">
        <f>+SUMIF(MFETR!$A:$A,$B11,MFETR!C:C)</f>
        <v>0</v>
      </c>
      <c r="G11" s="14">
        <f>+SUMIF(MFETR!$A:$A,$B11,MFETR!D:D)</f>
        <v>0</v>
      </c>
      <c r="H11" s="14">
        <f>+SUMIF(MFETR!$A:$A,$B11,MFETR!E:E)</f>
        <v>0</v>
      </c>
      <c r="I11" s="14">
        <f>+SUMIF(MFETR!$A:$A,$B11,MFETR!F:F)</f>
        <v>0</v>
      </c>
      <c r="J11" s="14">
        <f>+SUMIF(MFETR!$A:$A,$B11,MFETR!G:G)</f>
        <v>0</v>
      </c>
      <c r="K11" s="14">
        <f>+SUMIF(MFETR!$A:$A,$B11,MFETR!H:H)</f>
        <v>0</v>
      </c>
      <c r="L11" s="14">
        <f>+SUMIF(MFETR!$A:$A,$B11,MFETR!I:I)</f>
        <v>0</v>
      </c>
      <c r="M11" s="14">
        <f>+SUMIF(MFETR!$A:$A,$B11,MFETR!J:J)</f>
        <v>0</v>
      </c>
      <c r="N11" s="14">
        <f>+SUMIF(MFETR!$A:$A,$B11,MFETR!K:K)</f>
        <v>0</v>
      </c>
      <c r="O11" s="14">
        <f>+SUMIF(MFETR!$A:$A,$B11,MFETR!L:L)</f>
        <v>-40268971.948299259</v>
      </c>
      <c r="P11" s="14">
        <f>+SUMIF(MFETR!$A:$A,$B11,MFETR!M:M)</f>
        <v>-83952392.06669648</v>
      </c>
      <c r="Q11" s="14">
        <f t="shared" si="0"/>
        <v>-124221364.01499574</v>
      </c>
      <c r="R11" s="14">
        <f t="shared" si="1"/>
        <v>0</v>
      </c>
      <c r="S11" s="14">
        <f t="shared" si="2"/>
        <v>124221364.01499574</v>
      </c>
      <c r="T11" s="14">
        <f t="shared" si="3"/>
        <v>124221364.01499574</v>
      </c>
      <c r="U11" s="14">
        <f t="shared" si="4"/>
        <v>0</v>
      </c>
      <c r="V11" s="1"/>
      <c r="W11" s="1"/>
      <c r="X11" s="1"/>
      <c r="Y11" s="15"/>
    </row>
    <row r="12" spans="1:25" x14ac:dyDescent="0.25">
      <c r="A12" s="11" t="s">
        <v>16</v>
      </c>
      <c r="B12" s="12" t="s">
        <v>16</v>
      </c>
      <c r="C12" s="13">
        <v>0</v>
      </c>
      <c r="D12" s="13"/>
      <c r="E12" s="14">
        <f>+SUMIF(MFETR!$A:$A,$B12,MFETR!B:B)</f>
        <v>0</v>
      </c>
      <c r="F12" s="14">
        <f>+SUMIF(MFETR!$A:$A,$B12,MFETR!C:C)</f>
        <v>0</v>
      </c>
      <c r="G12" s="14">
        <f>+SUMIF(MFETR!$A:$A,$B12,MFETR!D:D)</f>
        <v>0</v>
      </c>
      <c r="H12" s="14">
        <f>+SUMIF(MFETR!$A:$A,$B12,MFETR!E:E)</f>
        <v>0</v>
      </c>
      <c r="I12" s="14">
        <f>+SUMIF(MFETR!$A:$A,$B12,MFETR!F:F)</f>
        <v>0</v>
      </c>
      <c r="J12" s="14">
        <f>+SUMIF(MFETR!$A:$A,$B12,MFETR!G:G)</f>
        <v>0</v>
      </c>
      <c r="K12" s="14">
        <f>+SUMIF(MFETR!$A:$A,$B12,MFETR!H:H)</f>
        <v>0</v>
      </c>
      <c r="L12" s="14">
        <f>+SUMIF(MFETR!$A:$A,$B12,MFETR!I:I)</f>
        <v>0</v>
      </c>
      <c r="M12" s="14">
        <f>+SUMIF(MFETR!$A:$A,$B12,MFETR!J:J)</f>
        <v>0</v>
      </c>
      <c r="N12" s="14">
        <f>+SUMIF(MFETR!$A:$A,$B12,MFETR!K:K)</f>
        <v>0</v>
      </c>
      <c r="O12" s="14">
        <f>+SUMIF(MFETR!$A:$A,$B12,MFETR!L:L)</f>
        <v>-808864151.26288211</v>
      </c>
      <c r="P12" s="14">
        <f>+SUMIF(MFETR!$A:$A,$B12,MFETR!M:M)</f>
        <v>0</v>
      </c>
      <c r="Q12" s="14">
        <f t="shared" si="0"/>
        <v>-808864151.26288211</v>
      </c>
      <c r="R12" s="14">
        <f t="shared" si="1"/>
        <v>0</v>
      </c>
      <c r="S12" s="14">
        <f t="shared" si="2"/>
        <v>808864151.26288211</v>
      </c>
      <c r="T12" s="14">
        <f t="shared" si="3"/>
        <v>808864151.26288211</v>
      </c>
      <c r="U12" s="14">
        <f t="shared" si="4"/>
        <v>0</v>
      </c>
      <c r="V12" s="1"/>
      <c r="W12" s="1"/>
      <c r="X12" s="1"/>
      <c r="Y12" s="15"/>
    </row>
    <row r="13" spans="1:25" x14ac:dyDescent="0.25">
      <c r="A13" s="11" t="s">
        <v>11</v>
      </c>
      <c r="B13" s="12" t="s">
        <v>17</v>
      </c>
      <c r="C13" s="13">
        <v>29285050.373511612</v>
      </c>
      <c r="D13" s="13"/>
      <c r="E13" s="14">
        <f>+SUMIF(MFETR!$A:$A,$B13,MFETR!B:B)</f>
        <v>24681.30854353201</v>
      </c>
      <c r="F13" s="14">
        <f>+SUMIF(MFETR!$A:$A,$B13,MFETR!C:C)</f>
        <v>74830.999684934941</v>
      </c>
      <c r="G13" s="14">
        <f>+SUMIF(MFETR!$A:$A,$B13,MFETR!D:D)</f>
        <v>57150.110870652563</v>
      </c>
      <c r="H13" s="14">
        <f>+SUMIF(MFETR!$A:$A,$B13,MFETR!E:E)</f>
        <v>21667.20707573487</v>
      </c>
      <c r="I13" s="14">
        <f>+SUMIF(MFETR!$A:$A,$B13,MFETR!F:F)</f>
        <v>-10884.57273829055</v>
      </c>
      <c r="J13" s="14">
        <f>+SUMIF(MFETR!$A:$A,$B13,MFETR!G:G)</f>
        <v>20174.71744395854</v>
      </c>
      <c r="K13" s="14">
        <f>+SUMIF(MFETR!$A:$A,$B13,MFETR!H:H)</f>
        <v>895926.16350323847</v>
      </c>
      <c r="L13" s="14">
        <f>+SUMIF(MFETR!$A:$A,$B13,MFETR!I:I)</f>
        <v>327688.53125745198</v>
      </c>
      <c r="M13" s="14">
        <f>+SUMIF(MFETR!$A:$A,$B13,MFETR!J:J)</f>
        <v>920520.06885333732</v>
      </c>
      <c r="N13" s="14">
        <f>+SUMIF(MFETR!$A:$A,$B13,MFETR!K:K)</f>
        <v>26037551.522419199</v>
      </c>
      <c r="O13" s="14">
        <f>+SUMIF(MFETR!$A:$A,$B13,MFETR!L:L)</f>
        <v>287642708.48906708</v>
      </c>
      <c r="P13" s="14">
        <f>+SUMIF(MFETR!$A:$A,$B13,MFETR!M:M)</f>
        <v>119310907.65567499</v>
      </c>
      <c r="Q13" s="14">
        <f t="shared" si="0"/>
        <v>464893707.71368837</v>
      </c>
      <c r="R13" s="14">
        <f t="shared" si="1"/>
        <v>464893707.71368837</v>
      </c>
      <c r="S13" s="14">
        <f t="shared" si="2"/>
        <v>0</v>
      </c>
      <c r="T13" s="14">
        <f t="shared" si="3"/>
        <v>-439933207.67002451</v>
      </c>
      <c r="U13" s="14">
        <f t="shared" si="4"/>
        <v>24960500.043663859</v>
      </c>
      <c r="V13" s="1"/>
      <c r="W13" s="1"/>
      <c r="X13" s="1"/>
      <c r="Y13" s="15"/>
    </row>
    <row r="14" spans="1:25" x14ac:dyDescent="0.25">
      <c r="A14" s="11" t="s">
        <v>18</v>
      </c>
      <c r="B14" s="12" t="s">
        <v>18</v>
      </c>
      <c r="C14" s="13">
        <v>0</v>
      </c>
      <c r="D14" s="13"/>
      <c r="E14" s="14">
        <f>+SUMIF(MFETR!$A:$A,$B14,MFETR!B:B)</f>
        <v>0</v>
      </c>
      <c r="F14" s="14">
        <f>+SUMIF(MFETR!$A:$A,$B14,MFETR!C:C)</f>
        <v>0</v>
      </c>
      <c r="G14" s="14">
        <f>+SUMIF(MFETR!$A:$A,$B14,MFETR!D:D)</f>
        <v>0</v>
      </c>
      <c r="H14" s="14">
        <f>+SUMIF(MFETR!$A:$A,$B14,MFETR!E:E)</f>
        <v>0</v>
      </c>
      <c r="I14" s="14">
        <f>+SUMIF(MFETR!$A:$A,$B14,MFETR!F:F)</f>
        <v>0</v>
      </c>
      <c r="J14" s="14">
        <f>+SUMIF(MFETR!$A:$A,$B14,MFETR!G:G)</f>
        <v>0</v>
      </c>
      <c r="K14" s="14">
        <f>+SUMIF(MFETR!$A:$A,$B14,MFETR!H:H)</f>
        <v>0</v>
      </c>
      <c r="L14" s="14">
        <f>+SUMIF(MFETR!$A:$A,$B14,MFETR!I:I)</f>
        <v>0</v>
      </c>
      <c r="M14" s="14">
        <f>+SUMIF(MFETR!$A:$A,$B14,MFETR!J:J)</f>
        <v>0</v>
      </c>
      <c r="N14" s="14">
        <f>+SUMIF(MFETR!$A:$A,$B14,MFETR!K:K)</f>
        <v>0</v>
      </c>
      <c r="O14" s="14">
        <f>+SUMIF(MFETR!$A:$A,$B14,MFETR!L:L)</f>
        <v>-498179679.07544082</v>
      </c>
      <c r="P14" s="14">
        <f>+SUMIF(MFETR!$A:$A,$B14,MFETR!M:M)</f>
        <v>0</v>
      </c>
      <c r="Q14" s="14">
        <f t="shared" si="0"/>
        <v>-498179679.07544082</v>
      </c>
      <c r="R14" s="14">
        <f t="shared" si="1"/>
        <v>0</v>
      </c>
      <c r="S14" s="14">
        <f t="shared" si="2"/>
        <v>498179679.07544082</v>
      </c>
      <c r="T14" s="14">
        <f t="shared" si="3"/>
        <v>498179679.07544082</v>
      </c>
      <c r="U14" s="14">
        <f t="shared" si="4"/>
        <v>0</v>
      </c>
      <c r="V14" s="1"/>
      <c r="W14" s="1"/>
      <c r="X14" s="1"/>
      <c r="Y14" s="15"/>
    </row>
    <row r="15" spans="1:25" x14ac:dyDescent="0.25">
      <c r="A15" s="11" t="s">
        <v>19</v>
      </c>
      <c r="B15" s="12" t="s">
        <v>19</v>
      </c>
      <c r="C15" s="13">
        <v>0</v>
      </c>
      <c r="D15" s="13"/>
      <c r="E15" s="14">
        <f>+SUMIF(MFETR!$A:$A,$B15,MFETR!B:B)</f>
        <v>0</v>
      </c>
      <c r="F15" s="14">
        <f>+SUMIF(MFETR!$A:$A,$B15,MFETR!C:C)</f>
        <v>0</v>
      </c>
      <c r="G15" s="14">
        <f>+SUMIF(MFETR!$A:$A,$B15,MFETR!D:D)</f>
        <v>0</v>
      </c>
      <c r="H15" s="14">
        <f>+SUMIF(MFETR!$A:$A,$B15,MFETR!E:E)</f>
        <v>0</v>
      </c>
      <c r="I15" s="14">
        <f>+SUMIF(MFETR!$A:$A,$B15,MFETR!F:F)</f>
        <v>0</v>
      </c>
      <c r="J15" s="14">
        <f>+SUMIF(MFETR!$A:$A,$B15,MFETR!G:G)</f>
        <v>0</v>
      </c>
      <c r="K15" s="14">
        <f>+SUMIF(MFETR!$A:$A,$B15,MFETR!H:H)</f>
        <v>0</v>
      </c>
      <c r="L15" s="14">
        <f>+SUMIF(MFETR!$A:$A,$B15,MFETR!I:I)</f>
        <v>0</v>
      </c>
      <c r="M15" s="14">
        <f>+SUMIF(MFETR!$A:$A,$B15,MFETR!J:J)</f>
        <v>0</v>
      </c>
      <c r="N15" s="14">
        <f>+SUMIF(MFETR!$A:$A,$B15,MFETR!K:K)</f>
        <v>0</v>
      </c>
      <c r="O15" s="14">
        <f>+SUMIF(MFETR!$A:$A,$B15,MFETR!L:L)</f>
        <v>0</v>
      </c>
      <c r="P15" s="14">
        <f>+SUMIF(MFETR!$A:$A,$B15,MFETR!M:M)</f>
        <v>0</v>
      </c>
      <c r="Q15" s="14">
        <f t="shared" si="0"/>
        <v>0</v>
      </c>
      <c r="R15" s="14">
        <f t="shared" si="1"/>
        <v>0</v>
      </c>
      <c r="S15" s="14">
        <f t="shared" si="2"/>
        <v>0</v>
      </c>
      <c r="T15" s="14">
        <f t="shared" si="3"/>
        <v>0</v>
      </c>
      <c r="U15" s="14">
        <f t="shared" si="4"/>
        <v>0</v>
      </c>
      <c r="V15" s="1"/>
      <c r="W15" s="1"/>
      <c r="X15" s="1"/>
      <c r="Y15" s="15"/>
    </row>
    <row r="16" spans="1:25" x14ac:dyDescent="0.25">
      <c r="A16" s="11" t="s">
        <v>20</v>
      </c>
      <c r="B16" s="12" t="s">
        <v>20</v>
      </c>
      <c r="C16" s="13">
        <v>0</v>
      </c>
      <c r="D16" s="13"/>
      <c r="E16" s="14">
        <f>+SUMIF(MFETR!$A:$A,$B16,MFETR!B:B)</f>
        <v>0</v>
      </c>
      <c r="F16" s="14">
        <f>+SUMIF(MFETR!$A:$A,$B16,MFETR!C:C)</f>
        <v>0</v>
      </c>
      <c r="G16" s="14">
        <f>+SUMIF(MFETR!$A:$A,$B16,MFETR!D:D)</f>
        <v>0</v>
      </c>
      <c r="H16" s="14">
        <f>+SUMIF(MFETR!$A:$A,$B16,MFETR!E:E)</f>
        <v>0</v>
      </c>
      <c r="I16" s="14">
        <f>+SUMIF(MFETR!$A:$A,$B16,MFETR!F:F)</f>
        <v>0</v>
      </c>
      <c r="J16" s="14">
        <f>+SUMIF(MFETR!$A:$A,$B16,MFETR!G:G)</f>
        <v>0</v>
      </c>
      <c r="K16" s="14">
        <f>+SUMIF(MFETR!$A:$A,$B16,MFETR!H:H)</f>
        <v>0</v>
      </c>
      <c r="L16" s="14">
        <f>+SUMIF(MFETR!$A:$A,$B16,MFETR!I:I)</f>
        <v>0</v>
      </c>
      <c r="M16" s="14">
        <f>+SUMIF(MFETR!$A:$A,$B16,MFETR!J:J)</f>
        <v>0</v>
      </c>
      <c r="N16" s="14">
        <f>+SUMIF(MFETR!$A:$A,$B16,MFETR!K:K)</f>
        <v>0</v>
      </c>
      <c r="O16" s="14">
        <f>+SUMIF(MFETR!$A:$A,$B16,MFETR!L:L)</f>
        <v>0</v>
      </c>
      <c r="P16" s="14">
        <f>+SUMIF(MFETR!$A:$A,$B16,MFETR!M:M)</f>
        <v>-329835538.04484242</v>
      </c>
      <c r="Q16" s="14">
        <f t="shared" si="0"/>
        <v>-329835538.04484242</v>
      </c>
      <c r="R16" s="14">
        <f t="shared" si="1"/>
        <v>0</v>
      </c>
      <c r="S16" s="14">
        <f t="shared" si="2"/>
        <v>329835538.04484242</v>
      </c>
      <c r="T16" s="14">
        <f t="shared" si="3"/>
        <v>329835538.04484242</v>
      </c>
      <c r="U16" s="14">
        <f t="shared" si="4"/>
        <v>0</v>
      </c>
      <c r="V16" s="1"/>
      <c r="W16" s="1"/>
      <c r="X16" s="1"/>
      <c r="Y16" s="15"/>
    </row>
    <row r="17" spans="1:25" x14ac:dyDescent="0.25">
      <c r="A17" s="11" t="s">
        <v>21</v>
      </c>
      <c r="B17" s="12" t="s">
        <v>21</v>
      </c>
      <c r="C17" s="13">
        <v>0</v>
      </c>
      <c r="D17" s="13"/>
      <c r="E17" s="14">
        <f>+SUMIF(MFETR!$A:$A,$B17,MFETR!B:B)</f>
        <v>0</v>
      </c>
      <c r="F17" s="14">
        <f>+SUMIF(MFETR!$A:$A,$B17,MFETR!C:C)</f>
        <v>0</v>
      </c>
      <c r="G17" s="14">
        <f>+SUMIF(MFETR!$A:$A,$B17,MFETR!D:D)</f>
        <v>0</v>
      </c>
      <c r="H17" s="14">
        <f>+SUMIF(MFETR!$A:$A,$B17,MFETR!E:E)</f>
        <v>0</v>
      </c>
      <c r="I17" s="14">
        <f>+SUMIF(MFETR!$A:$A,$B17,MFETR!F:F)</f>
        <v>0</v>
      </c>
      <c r="J17" s="14">
        <f>+SUMIF(MFETR!$A:$A,$B17,MFETR!G:G)</f>
        <v>0</v>
      </c>
      <c r="K17" s="14">
        <f>+SUMIF(MFETR!$A:$A,$B17,MFETR!H:H)</f>
        <v>0</v>
      </c>
      <c r="L17" s="14">
        <f>+SUMIF(MFETR!$A:$A,$B17,MFETR!I:I)</f>
        <v>0</v>
      </c>
      <c r="M17" s="14">
        <f>+SUMIF(MFETR!$A:$A,$B17,MFETR!J:J)</f>
        <v>0</v>
      </c>
      <c r="N17" s="14">
        <f>+SUMIF(MFETR!$A:$A,$B17,MFETR!K:K)</f>
        <v>-140940579.63902059</v>
      </c>
      <c r="O17" s="14">
        <f>+SUMIF(MFETR!$A:$A,$B17,MFETR!L:L)</f>
        <v>-593567176.99378884</v>
      </c>
      <c r="P17" s="14">
        <f>+SUMIF(MFETR!$A:$A,$B17,MFETR!M:M)</f>
        <v>30106196.429103728</v>
      </c>
      <c r="Q17" s="14">
        <f t="shared" si="0"/>
        <v>-704401560.20370567</v>
      </c>
      <c r="R17" s="14">
        <f t="shared" si="1"/>
        <v>0</v>
      </c>
      <c r="S17" s="14">
        <f t="shared" si="2"/>
        <v>704401560.20370567</v>
      </c>
      <c r="T17" s="14">
        <f t="shared" si="3"/>
        <v>704401560.20370567</v>
      </c>
      <c r="U17" s="14">
        <f t="shared" si="4"/>
        <v>0</v>
      </c>
      <c r="V17" s="1"/>
      <c r="W17" s="1"/>
      <c r="X17" s="1"/>
      <c r="Y17" s="15"/>
    </row>
    <row r="18" spans="1:25" x14ac:dyDescent="0.25">
      <c r="A18" s="11" t="s">
        <v>22</v>
      </c>
      <c r="B18" s="12" t="s">
        <v>22</v>
      </c>
      <c r="C18" s="13">
        <v>0</v>
      </c>
      <c r="D18" s="13"/>
      <c r="E18" s="14">
        <f>+SUMIF(MFETR!$A:$A,$B18,MFETR!B:B)</f>
        <v>0</v>
      </c>
      <c r="F18" s="14">
        <f>+SUMIF(MFETR!$A:$A,$B18,MFETR!C:C)</f>
        <v>0</v>
      </c>
      <c r="G18" s="14">
        <f>+SUMIF(MFETR!$A:$A,$B18,MFETR!D:D)</f>
        <v>0</v>
      </c>
      <c r="H18" s="14">
        <f>+SUMIF(MFETR!$A:$A,$B18,MFETR!E:E)</f>
        <v>0</v>
      </c>
      <c r="I18" s="14">
        <f>+SUMIF(MFETR!$A:$A,$B18,MFETR!F:F)</f>
        <v>0</v>
      </c>
      <c r="J18" s="14">
        <f>+SUMIF(MFETR!$A:$A,$B18,MFETR!G:G)</f>
        <v>0</v>
      </c>
      <c r="K18" s="14">
        <f>+SUMIF(MFETR!$A:$A,$B18,MFETR!H:H)</f>
        <v>0</v>
      </c>
      <c r="L18" s="14">
        <f>+SUMIF(MFETR!$A:$A,$B18,MFETR!I:I)</f>
        <v>0</v>
      </c>
      <c r="M18" s="14">
        <f>+SUMIF(MFETR!$A:$A,$B18,MFETR!J:J)</f>
        <v>-8637.5152566187626</v>
      </c>
      <c r="N18" s="14">
        <f>+SUMIF(MFETR!$A:$A,$B18,MFETR!K:K)</f>
        <v>-129663.5159948864</v>
      </c>
      <c r="O18" s="14">
        <f>+SUMIF(MFETR!$A:$A,$B18,MFETR!L:L)</f>
        <v>-195789193.6731284</v>
      </c>
      <c r="P18" s="14">
        <f>+SUMIF(MFETR!$A:$A,$B18,MFETR!M:M)</f>
        <v>-223181531.18264651</v>
      </c>
      <c r="Q18" s="14">
        <f t="shared" si="0"/>
        <v>-419109025.88702643</v>
      </c>
      <c r="R18" s="14">
        <f t="shared" si="1"/>
        <v>0</v>
      </c>
      <c r="S18" s="14">
        <f t="shared" si="2"/>
        <v>419109025.88702643</v>
      </c>
      <c r="T18" s="14">
        <f t="shared" si="3"/>
        <v>419109025.88702643</v>
      </c>
      <c r="U18" s="14">
        <f t="shared" si="4"/>
        <v>0</v>
      </c>
      <c r="V18" s="1"/>
      <c r="W18" s="1"/>
      <c r="X18" s="1"/>
      <c r="Y18" s="15"/>
    </row>
    <row r="19" spans="1:25" x14ac:dyDescent="0.25">
      <c r="A19" s="11" t="s">
        <v>23</v>
      </c>
      <c r="B19" s="12" t="s">
        <v>23</v>
      </c>
      <c r="C19" s="13">
        <v>0</v>
      </c>
      <c r="D19" s="13"/>
      <c r="E19" s="14">
        <f>+SUMIF(MFETR!$A:$A,$B19,MFETR!B:B)</f>
        <v>0</v>
      </c>
      <c r="F19" s="14">
        <f>+SUMIF(MFETR!$A:$A,$B19,MFETR!C:C)</f>
        <v>0</v>
      </c>
      <c r="G19" s="14">
        <f>+SUMIF(MFETR!$A:$A,$B19,MFETR!D:D)</f>
        <v>0</v>
      </c>
      <c r="H19" s="14">
        <f>+SUMIF(MFETR!$A:$A,$B19,MFETR!E:E)</f>
        <v>0</v>
      </c>
      <c r="I19" s="14">
        <f>+SUMIF(MFETR!$A:$A,$B19,MFETR!F:F)</f>
        <v>0</v>
      </c>
      <c r="J19" s="14">
        <f>+SUMIF(MFETR!$A:$A,$B19,MFETR!G:G)</f>
        <v>0</v>
      </c>
      <c r="K19" s="14">
        <f>+SUMIF(MFETR!$A:$A,$B19,MFETR!H:H)</f>
        <v>0</v>
      </c>
      <c r="L19" s="14">
        <f>+SUMIF(MFETR!$A:$A,$B19,MFETR!I:I)</f>
        <v>0</v>
      </c>
      <c r="M19" s="14">
        <f>+SUMIF(MFETR!$A:$A,$B19,MFETR!J:J)</f>
        <v>0</v>
      </c>
      <c r="N19" s="14">
        <f>+SUMIF(MFETR!$A:$A,$B19,MFETR!K:K)</f>
        <v>0</v>
      </c>
      <c r="O19" s="14">
        <f>+SUMIF(MFETR!$A:$A,$B19,MFETR!L:L)</f>
        <v>-308751.51428727497</v>
      </c>
      <c r="P19" s="14">
        <f>+SUMIF(MFETR!$A:$A,$B19,MFETR!M:M)</f>
        <v>-2877778.98338489</v>
      </c>
      <c r="Q19" s="14">
        <f>+(C19+D19)*(1+$B$4)+SUM(E19:P19)</f>
        <v>-3186530.4976721648</v>
      </c>
      <c r="R19" s="14">
        <f t="shared" si="1"/>
        <v>0</v>
      </c>
      <c r="S19" s="14">
        <f t="shared" si="2"/>
        <v>3186530.4976721648</v>
      </c>
      <c r="T19" s="14">
        <f t="shared" si="3"/>
        <v>3186530.4976721648</v>
      </c>
      <c r="U19" s="14">
        <f t="shared" si="4"/>
        <v>0</v>
      </c>
      <c r="V19" s="1"/>
      <c r="W19" s="1"/>
      <c r="X19" s="1"/>
      <c r="Y19" s="15"/>
    </row>
    <row r="20" spans="1:25" x14ac:dyDescent="0.25">
      <c r="A20" s="11" t="s">
        <v>24</v>
      </c>
      <c r="B20" s="12" t="s">
        <v>24</v>
      </c>
      <c r="C20" s="13">
        <v>1302224.2864415795</v>
      </c>
      <c r="D20" s="13"/>
      <c r="E20" s="14">
        <f>+SUMIF(MFETR!$A:$A,$B20,MFETR!B:B)</f>
        <v>-2192.56000093386</v>
      </c>
      <c r="F20" s="14">
        <f>+SUMIF(MFETR!$A:$A,$B20,MFETR!C:C)</f>
        <v>-2554.912667522382</v>
      </c>
      <c r="G20" s="14">
        <f>+SUMIF(MFETR!$A:$A,$B20,MFETR!D:D)</f>
        <v>0</v>
      </c>
      <c r="H20" s="14">
        <f>+SUMIF(MFETR!$A:$A,$B20,MFETR!E:E)</f>
        <v>0</v>
      </c>
      <c r="I20" s="14">
        <f>+SUMIF(MFETR!$A:$A,$B20,MFETR!F:F)</f>
        <v>0</v>
      </c>
      <c r="J20" s="14">
        <f>+SUMIF(MFETR!$A:$A,$B20,MFETR!G:G)</f>
        <v>8728.781579141214</v>
      </c>
      <c r="K20" s="14">
        <f>+SUMIF(MFETR!$A:$A,$B20,MFETR!H:H)</f>
        <v>18250.972924370839</v>
      </c>
      <c r="L20" s="14">
        <f>+SUMIF(MFETR!$A:$A,$B20,MFETR!I:I)</f>
        <v>18858.711812564161</v>
      </c>
      <c r="M20" s="14">
        <f>+SUMIF(MFETR!$A:$A,$B20,MFETR!J:J)</f>
        <v>26834.800709633211</v>
      </c>
      <c r="N20" s="14">
        <f>+SUMIF(MFETR!$A:$A,$B20,MFETR!K:K)</f>
        <v>30154.61974504072</v>
      </c>
      <c r="O20" s="14">
        <f>+SUMIF(MFETR!$A:$A,$B20,MFETR!L:L)</f>
        <v>13426768.56453938</v>
      </c>
      <c r="P20" s="14">
        <f>+SUMIF(MFETR!$A:$A,$B20,MFETR!M:M)</f>
        <v>7470018.4872440211</v>
      </c>
      <c r="Q20" s="14">
        <f t="shared" si="0"/>
        <v>22309797.594800685</v>
      </c>
      <c r="R20" s="14">
        <f t="shared" si="1"/>
        <v>22309797.594800685</v>
      </c>
      <c r="S20" s="14">
        <f t="shared" si="2"/>
        <v>0</v>
      </c>
      <c r="T20" s="14">
        <f t="shared" si="3"/>
        <v>-21111967.435778379</v>
      </c>
      <c r="U20" s="14">
        <f t="shared" si="4"/>
        <v>1197830.1590223052</v>
      </c>
      <c r="V20" s="1"/>
      <c r="W20" s="1"/>
      <c r="X20" s="1"/>
      <c r="Y20" s="15"/>
    </row>
    <row r="21" spans="1:25" x14ac:dyDescent="0.25">
      <c r="A21" s="11" t="s">
        <v>25</v>
      </c>
      <c r="B21" s="12" t="s">
        <v>25</v>
      </c>
      <c r="C21" s="13">
        <v>0</v>
      </c>
      <c r="D21" s="13"/>
      <c r="E21" s="14">
        <f>+SUMIF(MFETR!$A:$A,$B21,MFETR!B:B)</f>
        <v>3683.2038412839011</v>
      </c>
      <c r="F21" s="14">
        <f>+SUMIF(MFETR!$A:$A,$B21,MFETR!C:C)</f>
        <v>4569.0902005522057</v>
      </c>
      <c r="G21" s="14">
        <f>+SUMIF(MFETR!$A:$A,$B21,MFETR!D:D)</f>
        <v>-569.75064260083855</v>
      </c>
      <c r="H21" s="14">
        <f>+SUMIF(MFETR!$A:$A,$B21,MFETR!E:E)</f>
        <v>-2907.2288020459659</v>
      </c>
      <c r="I21" s="14">
        <f>+SUMIF(MFETR!$A:$A,$B21,MFETR!F:F)</f>
        <v>2439.0402998462691</v>
      </c>
      <c r="J21" s="14">
        <f>+SUMIF(MFETR!$A:$A,$B21,MFETR!G:G)</f>
        <v>14338.9571469359</v>
      </c>
      <c r="K21" s="14">
        <f>+SUMIF(MFETR!$A:$A,$B21,MFETR!H:H)</f>
        <v>49915.005847687687</v>
      </c>
      <c r="L21" s="14">
        <f>+SUMIF(MFETR!$A:$A,$B21,MFETR!I:I)</f>
        <v>119404.3728025</v>
      </c>
      <c r="M21" s="14">
        <f>+SUMIF(MFETR!$A:$A,$B21,MFETR!J:J)</f>
        <v>-2096210.9434328531</v>
      </c>
      <c r="N21" s="14">
        <f>+SUMIF(MFETR!$A:$A,$B21,MFETR!K:K)</f>
        <v>-67307521.662367031</v>
      </c>
      <c r="O21" s="14">
        <f>+SUMIF(MFETR!$A:$A,$B21,MFETR!L:L)</f>
        <v>-515482475.2695291</v>
      </c>
      <c r="P21" s="14">
        <f>+SUMIF(MFETR!$A:$A,$B21,MFETR!M:M)</f>
        <v>-155413967.79630059</v>
      </c>
      <c r="Q21" s="14">
        <f t="shared" si="0"/>
        <v>-740109302.98093534</v>
      </c>
      <c r="R21" s="14">
        <f t="shared" si="1"/>
        <v>0</v>
      </c>
      <c r="S21" s="14">
        <f t="shared" si="2"/>
        <v>740109302.98093534</v>
      </c>
      <c r="T21" s="14">
        <f t="shared" si="3"/>
        <v>740109302.98093534</v>
      </c>
      <c r="U21" s="14">
        <f t="shared" si="4"/>
        <v>0</v>
      </c>
      <c r="V21" s="1"/>
      <c r="W21" s="1"/>
      <c r="X21" s="1"/>
      <c r="Y21" s="15"/>
    </row>
    <row r="22" spans="1:25" x14ac:dyDescent="0.25">
      <c r="A22" s="11" t="s">
        <v>26</v>
      </c>
      <c r="B22" s="12" t="s">
        <v>26</v>
      </c>
      <c r="C22" s="13">
        <v>4660019.7773346156</v>
      </c>
      <c r="D22" s="13"/>
      <c r="E22" s="14">
        <f>+SUMIF(MFETR!$A:$A,$B22,MFETR!B:B)</f>
        <v>-1560.7501201210509</v>
      </c>
      <c r="F22" s="14">
        <f>+SUMIF(MFETR!$A:$A,$B22,MFETR!C:C)</f>
        <v>-1271.5730387943579</v>
      </c>
      <c r="G22" s="14">
        <f>+SUMIF(MFETR!$A:$A,$B22,MFETR!D:D)</f>
        <v>0</v>
      </c>
      <c r="H22" s="14">
        <f>+SUMIF(MFETR!$A:$A,$B22,MFETR!E:E)</f>
        <v>0</v>
      </c>
      <c r="I22" s="14">
        <f>+SUMIF(MFETR!$A:$A,$B22,MFETR!F:F)</f>
        <v>0</v>
      </c>
      <c r="J22" s="14">
        <f>+SUMIF(MFETR!$A:$A,$B22,MFETR!G:G)</f>
        <v>0</v>
      </c>
      <c r="K22" s="14">
        <f>+SUMIF(MFETR!$A:$A,$B22,MFETR!H:H)</f>
        <v>1112.739483396314</v>
      </c>
      <c r="L22" s="14">
        <f>+SUMIF(MFETR!$A:$A,$B22,MFETR!I:I)</f>
        <v>11031.8993902074</v>
      </c>
      <c r="M22" s="14">
        <f>+SUMIF(MFETR!$A:$A,$B22,MFETR!J:J)</f>
        <v>2234.08225455814</v>
      </c>
      <c r="N22" s="14">
        <f>+SUMIF(MFETR!$A:$A,$B22,MFETR!K:K)</f>
        <v>1632448.972313286</v>
      </c>
      <c r="O22" s="14">
        <f>+SUMIF(MFETR!$A:$A,$B22,MFETR!L:L)</f>
        <v>33149027.126719661</v>
      </c>
      <c r="P22" s="14">
        <f>+SUMIF(MFETR!$A:$A,$B22,MFETR!M:M)</f>
        <v>48020219.312811449</v>
      </c>
      <c r="Q22" s="14">
        <f t="shared" si="0"/>
        <v>87518729.543651819</v>
      </c>
      <c r="R22" s="14">
        <f t="shared" si="1"/>
        <v>87518729.543651819</v>
      </c>
      <c r="S22" s="14">
        <f t="shared" si="2"/>
        <v>0</v>
      </c>
      <c r="T22" s="14">
        <f t="shared" si="3"/>
        <v>-82819781.770538285</v>
      </c>
      <c r="U22" s="14">
        <f t="shared" si="4"/>
        <v>4698947.7731135339</v>
      </c>
      <c r="V22" s="1"/>
      <c r="W22" s="1"/>
      <c r="X22" s="1"/>
      <c r="Y22" s="15"/>
    </row>
    <row r="23" spans="1:25" x14ac:dyDescent="0.25">
      <c r="A23" s="11" t="s">
        <v>27</v>
      </c>
      <c r="B23" s="12" t="s">
        <v>27</v>
      </c>
      <c r="C23" s="13">
        <v>1255959.7725615092</v>
      </c>
      <c r="D23" s="13"/>
      <c r="E23" s="14">
        <f>+SUMIF(MFETR!$A:$A,$B23,MFETR!B:B)</f>
        <v>0</v>
      </c>
      <c r="F23" s="14">
        <f>+SUMIF(MFETR!$A:$A,$B23,MFETR!C:C)</f>
        <v>0</v>
      </c>
      <c r="G23" s="14">
        <f>+SUMIF(MFETR!$A:$A,$B23,MFETR!D:D)</f>
        <v>0</v>
      </c>
      <c r="H23" s="14">
        <f>+SUMIF(MFETR!$A:$A,$B23,MFETR!E:E)</f>
        <v>0</v>
      </c>
      <c r="I23" s="14">
        <f>+SUMIF(MFETR!$A:$A,$B23,MFETR!F:F)</f>
        <v>0</v>
      </c>
      <c r="J23" s="14">
        <f>+SUMIF(MFETR!$A:$A,$B23,MFETR!G:G)</f>
        <v>0</v>
      </c>
      <c r="K23" s="14">
        <f>+SUMIF(MFETR!$A:$A,$B23,MFETR!H:H)</f>
        <v>0</v>
      </c>
      <c r="L23" s="14">
        <f>+SUMIF(MFETR!$A:$A,$B23,MFETR!I:I)</f>
        <v>0</v>
      </c>
      <c r="M23" s="14">
        <f>+SUMIF(MFETR!$A:$A,$B23,MFETR!J:J)</f>
        <v>48896.250397210941</v>
      </c>
      <c r="N23" s="14">
        <f>+SUMIF(MFETR!$A:$A,$B23,MFETR!K:K)</f>
        <v>165420.51676300351</v>
      </c>
      <c r="O23" s="14">
        <f>+SUMIF(MFETR!$A:$A,$B23,MFETR!L:L)</f>
        <v>12026184.23339037</v>
      </c>
      <c r="P23" s="14">
        <f>+SUMIF(MFETR!$A:$A,$B23,MFETR!M:M)</f>
        <v>5006167.7114518909</v>
      </c>
      <c r="Q23" s="14">
        <f t="shared" si="0"/>
        <v>18514882.922750447</v>
      </c>
      <c r="R23" s="14">
        <f t="shared" si="1"/>
        <v>18514882.922750447</v>
      </c>
      <c r="S23" s="14">
        <f t="shared" si="2"/>
        <v>0</v>
      </c>
      <c r="T23" s="14">
        <f t="shared" si="3"/>
        <v>-17520804.6456438</v>
      </c>
      <c r="U23" s="14">
        <f t="shared" si="4"/>
        <v>994078.27710664645</v>
      </c>
      <c r="V23" s="1"/>
      <c r="W23" s="1"/>
      <c r="X23" s="1"/>
      <c r="Y23" s="15"/>
    </row>
    <row r="24" spans="1:25" x14ac:dyDescent="0.25">
      <c r="A24" s="11" t="s">
        <v>28</v>
      </c>
      <c r="B24" s="12" t="s">
        <v>28</v>
      </c>
      <c r="C24" s="13">
        <v>4458740.5722282752</v>
      </c>
      <c r="D24" s="13"/>
      <c r="E24" s="14">
        <f>+SUMIF(MFETR!$A:$A,$B24,MFETR!B:B)</f>
        <v>0</v>
      </c>
      <c r="F24" s="14">
        <f>+SUMIF(MFETR!$A:$A,$B24,MFETR!C:C)</f>
        <v>0</v>
      </c>
      <c r="G24" s="14">
        <f>+SUMIF(MFETR!$A:$A,$B24,MFETR!D:D)</f>
        <v>0</v>
      </c>
      <c r="H24" s="14">
        <f>+SUMIF(MFETR!$A:$A,$B24,MFETR!E:E)</f>
        <v>0</v>
      </c>
      <c r="I24" s="14">
        <f>+SUMIF(MFETR!$A:$A,$B24,MFETR!F:F)</f>
        <v>0</v>
      </c>
      <c r="J24" s="14">
        <f>+SUMIF(MFETR!$A:$A,$B24,MFETR!G:G)</f>
        <v>0</v>
      </c>
      <c r="K24" s="14">
        <f>+SUMIF(MFETR!$A:$A,$B24,MFETR!H:H)</f>
        <v>0</v>
      </c>
      <c r="L24" s="14">
        <f>+SUMIF(MFETR!$A:$A,$B24,MFETR!I:I)</f>
        <v>0</v>
      </c>
      <c r="M24" s="14">
        <f>+SUMIF(MFETR!$A:$A,$B24,MFETR!J:J)</f>
        <v>-4150.8387434907909</v>
      </c>
      <c r="N24" s="14">
        <f>+SUMIF(MFETR!$A:$A,$B24,MFETR!K:K)</f>
        <v>-7547.3220878421489</v>
      </c>
      <c r="O24" s="14">
        <f>+SUMIF(MFETR!$A:$A,$B24,MFETR!L:L)</f>
        <v>16008904.53010563</v>
      </c>
      <c r="P24" s="14">
        <f>+SUMIF(MFETR!$A:$A,$B24,MFETR!M:M)</f>
        <v>51394843.236553572</v>
      </c>
      <c r="Q24" s="14">
        <f t="shared" si="0"/>
        <v>71894294.247155756</v>
      </c>
      <c r="R24" s="14">
        <f t="shared" si="1"/>
        <v>71894294.247155756</v>
      </c>
      <c r="S24" s="14">
        <f t="shared" si="2"/>
        <v>0</v>
      </c>
      <c r="T24" s="14">
        <f t="shared" si="3"/>
        <v>-68034234.399237797</v>
      </c>
      <c r="U24" s="14">
        <f t="shared" si="4"/>
        <v>3860059.8479179591</v>
      </c>
      <c r="V24" s="1"/>
      <c r="W24" s="1"/>
      <c r="X24" s="1"/>
      <c r="Y24" s="15"/>
    </row>
    <row r="25" spans="1:25" x14ac:dyDescent="0.25">
      <c r="A25" s="11" t="s">
        <v>11</v>
      </c>
      <c r="B25" s="12" t="s">
        <v>29</v>
      </c>
      <c r="C25" s="13">
        <v>332958.35157920327</v>
      </c>
      <c r="D25" s="13"/>
      <c r="E25" s="14">
        <f>+SUMIF(MFETR!$A:$A,$B25,MFETR!B:B)</f>
        <v>0</v>
      </c>
      <c r="F25" s="14">
        <f>+SUMIF(MFETR!$A:$A,$B25,MFETR!C:C)</f>
        <v>0</v>
      </c>
      <c r="G25" s="14">
        <f>+SUMIF(MFETR!$A:$A,$B25,MFETR!D:D)</f>
        <v>-436.09032882043181</v>
      </c>
      <c r="H25" s="14">
        <f>+SUMIF(MFETR!$A:$A,$B25,MFETR!E:E)</f>
        <v>-429.46969623574569</v>
      </c>
      <c r="I25" s="14">
        <f>+SUMIF(MFETR!$A:$A,$B25,MFETR!F:F)</f>
        <v>-576.59862388188913</v>
      </c>
      <c r="J25" s="14">
        <f>+SUMIF(MFETR!$A:$A,$B25,MFETR!G:G)</f>
        <v>-732.76983446649047</v>
      </c>
      <c r="K25" s="14">
        <f>+SUMIF(MFETR!$A:$A,$B25,MFETR!H:H)</f>
        <v>-953.12396212494559</v>
      </c>
      <c r="L25" s="14">
        <f>+SUMIF(MFETR!$A:$A,$B25,MFETR!I:I)</f>
        <v>-4913.7111057563561</v>
      </c>
      <c r="M25" s="14">
        <f>+SUMIF(MFETR!$A:$A,$B25,MFETR!J:J)</f>
        <v>-6866.9847066334614</v>
      </c>
      <c r="N25" s="14">
        <f>+SUMIF(MFETR!$A:$A,$B25,MFETR!K:K)</f>
        <v>488371.72069567349</v>
      </c>
      <c r="O25" s="14">
        <f>+SUMIF(MFETR!$A:$A,$B25,MFETR!L:L)</f>
        <v>3496759.92850762</v>
      </c>
      <c r="P25" s="14">
        <f>+SUMIF(MFETR!$A:$A,$B25,MFETR!M:M)</f>
        <v>1345742.472778498</v>
      </c>
      <c r="Q25" s="14">
        <f t="shared" si="0"/>
        <v>5652172.4101950862</v>
      </c>
      <c r="R25" s="14">
        <f t="shared" si="1"/>
        <v>5652172.4101950862</v>
      </c>
      <c r="S25" s="14">
        <f t="shared" si="2"/>
        <v>0</v>
      </c>
      <c r="T25" s="14">
        <f t="shared" si="3"/>
        <v>-5348702.9345910903</v>
      </c>
      <c r="U25" s="14">
        <f t="shared" si="4"/>
        <v>303469.47560399584</v>
      </c>
      <c r="V25" s="1"/>
      <c r="W25" s="1"/>
      <c r="X25" s="1"/>
      <c r="Y25" s="15"/>
    </row>
    <row r="26" spans="1:25" x14ac:dyDescent="0.25">
      <c r="A26" s="11" t="s">
        <v>11</v>
      </c>
      <c r="B26" s="12" t="s">
        <v>30</v>
      </c>
      <c r="C26" s="13">
        <v>17897740.962489843</v>
      </c>
      <c r="D26" s="13"/>
      <c r="E26" s="14">
        <f>+SUMIF(MFETR!$A:$A,$B26,MFETR!B:B)</f>
        <v>0</v>
      </c>
      <c r="F26" s="14">
        <f>+SUMIF(MFETR!$A:$A,$B26,MFETR!C:C)</f>
        <v>-5.0931703299283981E-11</v>
      </c>
      <c r="G26" s="14">
        <f>+SUMIF(MFETR!$A:$A,$B26,MFETR!D:D)</f>
        <v>54840.70986986826</v>
      </c>
      <c r="H26" s="14">
        <f>+SUMIF(MFETR!$A:$A,$B26,MFETR!E:E)</f>
        <v>50633.62760273469</v>
      </c>
      <c r="I26" s="14">
        <f>+SUMIF(MFETR!$A:$A,$B26,MFETR!F:F)</f>
        <v>71707.039439589818</v>
      </c>
      <c r="J26" s="14">
        <f>+SUMIF(MFETR!$A:$A,$B26,MFETR!G:G)</f>
        <v>133589.76512171599</v>
      </c>
      <c r="K26" s="14">
        <f>+SUMIF(MFETR!$A:$A,$B26,MFETR!H:H)</f>
        <v>178256.91291303511</v>
      </c>
      <c r="L26" s="14">
        <f>+SUMIF(MFETR!$A:$A,$B26,MFETR!I:I)</f>
        <v>183606.45962140831</v>
      </c>
      <c r="M26" s="14">
        <f>+SUMIF(MFETR!$A:$A,$B26,MFETR!J:J)</f>
        <v>233550.31896996521</v>
      </c>
      <c r="N26" s="14">
        <f>+SUMIF(MFETR!$A:$A,$B26,MFETR!K:K)</f>
        <v>10082110.220729951</v>
      </c>
      <c r="O26" s="14">
        <f>+SUMIF(MFETR!$A:$A,$B26,MFETR!L:L)</f>
        <v>175880008.32213569</v>
      </c>
      <c r="P26" s="14">
        <f>+SUMIF(MFETR!$A:$A,$B26,MFETR!M:M)</f>
        <v>88475802.912700087</v>
      </c>
      <c r="Q26" s="14">
        <f t="shared" si="0"/>
        <v>293416476.0614441</v>
      </c>
      <c r="R26" s="14">
        <f t="shared" si="1"/>
        <v>293416476.0614441</v>
      </c>
      <c r="S26" s="14">
        <f t="shared" si="2"/>
        <v>0</v>
      </c>
      <c r="T26" s="14">
        <f t="shared" si="3"/>
        <v>-277662720.22000378</v>
      </c>
      <c r="U26" s="14">
        <f t="shared" si="4"/>
        <v>15753755.84144032</v>
      </c>
      <c r="V26" s="1"/>
      <c r="W26" s="1"/>
      <c r="X26" s="1"/>
      <c r="Y26" s="15"/>
    </row>
    <row r="27" spans="1:25" x14ac:dyDescent="0.25">
      <c r="A27" s="11" t="s">
        <v>11</v>
      </c>
      <c r="B27" s="12" t="s">
        <v>31</v>
      </c>
      <c r="C27" s="13">
        <v>9490856.7413997054</v>
      </c>
      <c r="D27" s="13"/>
      <c r="E27" s="14">
        <f>+SUMIF(MFETR!$A:$A,$B27,MFETR!B:B)</f>
        <v>17050.18538336546</v>
      </c>
      <c r="F27" s="14">
        <f>+SUMIF(MFETR!$A:$A,$B27,MFETR!C:C)</f>
        <v>18028.790184637161</v>
      </c>
      <c r="G27" s="14">
        <f>+SUMIF(MFETR!$A:$A,$B27,MFETR!D:D)</f>
        <v>23375.166665762121</v>
      </c>
      <c r="H27" s="14">
        <f>+SUMIF(MFETR!$A:$A,$B27,MFETR!E:E)</f>
        <v>35634.273474004578</v>
      </c>
      <c r="I27" s="14">
        <f>+SUMIF(MFETR!$A:$A,$B27,MFETR!F:F)</f>
        <v>17099.430983981601</v>
      </c>
      <c r="J27" s="14">
        <f>+SUMIF(MFETR!$A:$A,$B27,MFETR!G:G)</f>
        <v>26052.330674539058</v>
      </c>
      <c r="K27" s="14">
        <f>+SUMIF(MFETR!$A:$A,$B27,MFETR!H:H)</f>
        <v>28260.495295579309</v>
      </c>
      <c r="L27" s="14">
        <f>+SUMIF(MFETR!$A:$A,$B27,MFETR!I:I)</f>
        <v>23797.763997117068</v>
      </c>
      <c r="M27" s="14">
        <f>+SUMIF(MFETR!$A:$A,$B27,MFETR!J:J)</f>
        <v>86372.487769576328</v>
      </c>
      <c r="N27" s="14">
        <f>+SUMIF(MFETR!$A:$A,$B27,MFETR!K:K)</f>
        <v>5236369.4084980497</v>
      </c>
      <c r="O27" s="14">
        <f>+SUMIF(MFETR!$A:$A,$B27,MFETR!L:L)</f>
        <v>80604021.40516533</v>
      </c>
      <c r="P27" s="14">
        <f>+SUMIF(MFETR!$A:$A,$B27,MFETR!M:M)</f>
        <v>57554076.50724303</v>
      </c>
      <c r="Q27" s="14">
        <f t="shared" si="0"/>
        <v>153253597.56829417</v>
      </c>
      <c r="R27" s="14">
        <f t="shared" si="1"/>
        <v>153253597.56829417</v>
      </c>
      <c r="S27" s="14">
        <f t="shared" si="2"/>
        <v>0</v>
      </c>
      <c r="T27" s="14">
        <f t="shared" si="3"/>
        <v>-145025294.26944438</v>
      </c>
      <c r="U27" s="14">
        <f t="shared" si="4"/>
        <v>8228303.2988497913</v>
      </c>
      <c r="V27" s="1"/>
      <c r="W27" s="1"/>
      <c r="X27" s="1"/>
      <c r="Y27" s="15"/>
    </row>
    <row r="28" spans="1:25" x14ac:dyDescent="0.25">
      <c r="A28" s="11" t="s">
        <v>11</v>
      </c>
      <c r="B28" s="12" t="s">
        <v>32</v>
      </c>
      <c r="C28" s="13">
        <v>5641406.2395384908</v>
      </c>
      <c r="D28" s="13"/>
      <c r="E28" s="14">
        <f>+SUMIF(MFETR!$A:$A,$B28,MFETR!B:B)</f>
        <v>-53579.409729945939</v>
      </c>
      <c r="F28" s="14">
        <f>+SUMIF(MFETR!$A:$A,$B28,MFETR!C:C)</f>
        <v>-61273.128140933353</v>
      </c>
      <c r="G28" s="14">
        <f>+SUMIF(MFETR!$A:$A,$B28,MFETR!D:D)</f>
        <v>-39440.940433357027</v>
      </c>
      <c r="H28" s="14">
        <f>+SUMIF(MFETR!$A:$A,$B28,MFETR!E:E)</f>
        <v>-38876.55002479149</v>
      </c>
      <c r="I28" s="14">
        <f>+SUMIF(MFETR!$A:$A,$B28,MFETR!F:F)</f>
        <v>-53400.660500780723</v>
      </c>
      <c r="J28" s="14">
        <f>+SUMIF(MFETR!$A:$A,$B28,MFETR!G:G)</f>
        <v>-39995.46822540641</v>
      </c>
      <c r="K28" s="14">
        <f>+SUMIF(MFETR!$A:$A,$B28,MFETR!H:H)</f>
        <v>-24234.610325573649</v>
      </c>
      <c r="L28" s="14">
        <f>+SUMIF(MFETR!$A:$A,$B28,MFETR!I:I)</f>
        <v>-470.35980506084798</v>
      </c>
      <c r="M28" s="14">
        <f>+SUMIF(MFETR!$A:$A,$B28,MFETR!J:J)</f>
        <v>5164.168361486134</v>
      </c>
      <c r="N28" s="14">
        <f>+SUMIF(MFETR!$A:$A,$B28,MFETR!K:K)</f>
        <v>2149645.4600354531</v>
      </c>
      <c r="O28" s="14">
        <f>+SUMIF(MFETR!$A:$A,$B28,MFETR!L:L)</f>
        <v>56942352.139479227</v>
      </c>
      <c r="P28" s="14">
        <f>+SUMIF(MFETR!$A:$A,$B28,MFETR!M:M)</f>
        <v>32427535.605336219</v>
      </c>
      <c r="Q28" s="14">
        <f t="shared" si="0"/>
        <v>96909875.860008597</v>
      </c>
      <c r="R28" s="14">
        <f t="shared" si="1"/>
        <v>96909875.860008597</v>
      </c>
      <c r="S28" s="14">
        <f t="shared" si="2"/>
        <v>0</v>
      </c>
      <c r="T28" s="14">
        <f t="shared" si="3"/>
        <v>-91706710.232039005</v>
      </c>
      <c r="U28" s="14">
        <f t="shared" si="4"/>
        <v>5203165.6279695928</v>
      </c>
      <c r="V28" s="1"/>
      <c r="W28" s="1"/>
      <c r="X28" s="1"/>
      <c r="Y28" s="15"/>
    </row>
    <row r="29" spans="1:25" x14ac:dyDescent="0.25">
      <c r="A29" s="11" t="s">
        <v>11</v>
      </c>
      <c r="B29" s="12" t="s">
        <v>33</v>
      </c>
      <c r="C29" s="13">
        <v>10889404.955266982</v>
      </c>
      <c r="D29" s="13"/>
      <c r="E29" s="14">
        <f>+SUMIF(MFETR!$A:$A,$B29,MFETR!B:B)</f>
        <v>97581.542703516243</v>
      </c>
      <c r="F29" s="14">
        <f>+SUMIF(MFETR!$A:$A,$B29,MFETR!C:C)</f>
        <v>54063.835647618238</v>
      </c>
      <c r="G29" s="14">
        <f>+SUMIF(MFETR!$A:$A,$B29,MFETR!D:D)</f>
        <v>22189.014828497009</v>
      </c>
      <c r="H29" s="14">
        <f>+SUMIF(MFETR!$A:$A,$B29,MFETR!E:E)</f>
        <v>21449.438410825511</v>
      </c>
      <c r="I29" s="14">
        <f>+SUMIF(MFETR!$A:$A,$B29,MFETR!F:F)</f>
        <v>32618.68588136691</v>
      </c>
      <c r="J29" s="14">
        <f>+SUMIF(MFETR!$A:$A,$B29,MFETR!G:G)</f>
        <v>55860.646201225878</v>
      </c>
      <c r="K29" s="14">
        <f>+SUMIF(MFETR!$A:$A,$B29,MFETR!H:H)</f>
        <v>15945.99158724964</v>
      </c>
      <c r="L29" s="14">
        <f>+SUMIF(MFETR!$A:$A,$B29,MFETR!I:I)</f>
        <v>174986.95749006941</v>
      </c>
      <c r="M29" s="14">
        <f>+SUMIF(MFETR!$A:$A,$B29,MFETR!J:J)</f>
        <v>331640.13061478653</v>
      </c>
      <c r="N29" s="14">
        <f>+SUMIF(MFETR!$A:$A,$B29,MFETR!K:K)</f>
        <v>8149761.8264199216</v>
      </c>
      <c r="O29" s="14">
        <f>+SUMIF(MFETR!$A:$A,$B29,MFETR!L:L)</f>
        <v>122147964.7519128</v>
      </c>
      <c r="P29" s="14">
        <f>+SUMIF(MFETR!$A:$A,$B29,MFETR!M:M)</f>
        <v>25792362.012254119</v>
      </c>
      <c r="Q29" s="14">
        <f t="shared" si="0"/>
        <v>167892078.04877871</v>
      </c>
      <c r="R29" s="14">
        <f t="shared" si="1"/>
        <v>167892078.04877871</v>
      </c>
      <c r="S29" s="14">
        <f t="shared" si="2"/>
        <v>0</v>
      </c>
      <c r="T29" s="14">
        <f t="shared" si="3"/>
        <v>-158877823.49567506</v>
      </c>
      <c r="U29" s="14">
        <f t="shared" si="4"/>
        <v>9014254.5531036556</v>
      </c>
      <c r="V29" s="1"/>
      <c r="W29" s="1"/>
      <c r="X29" s="1"/>
      <c r="Y29" s="15"/>
    </row>
    <row r="30" spans="1:25" x14ac:dyDescent="0.25">
      <c r="A30" s="11" t="s">
        <v>34</v>
      </c>
      <c r="B30" s="12" t="s">
        <v>34</v>
      </c>
      <c r="C30" s="13">
        <v>0</v>
      </c>
      <c r="D30" s="13"/>
      <c r="E30" s="14">
        <f>+SUMIF(MFETR!$A:$A,$B30,MFETR!B:B)</f>
        <v>0</v>
      </c>
      <c r="F30" s="14">
        <f>+SUMIF(MFETR!$A:$A,$B30,MFETR!C:C)</f>
        <v>0</v>
      </c>
      <c r="G30" s="14">
        <f>+SUMIF(MFETR!$A:$A,$B30,MFETR!D:D)</f>
        <v>0</v>
      </c>
      <c r="H30" s="14">
        <f>+SUMIF(MFETR!$A:$A,$B30,MFETR!E:E)</f>
        <v>0</v>
      </c>
      <c r="I30" s="14">
        <f>+SUMIF(MFETR!$A:$A,$B30,MFETR!F:F)</f>
        <v>0</v>
      </c>
      <c r="J30" s="14">
        <f>+SUMIF(MFETR!$A:$A,$B30,MFETR!G:G)</f>
        <v>0</v>
      </c>
      <c r="K30" s="14">
        <f>+SUMIF(MFETR!$A:$A,$B30,MFETR!H:H)</f>
        <v>0</v>
      </c>
      <c r="L30" s="14">
        <f>+SUMIF(MFETR!$A:$A,$B30,MFETR!I:I)</f>
        <v>0</v>
      </c>
      <c r="M30" s="14">
        <f>+SUMIF(MFETR!$A:$A,$B30,MFETR!J:J)</f>
        <v>0</v>
      </c>
      <c r="N30" s="14">
        <f>+SUMIF(MFETR!$A:$A,$B30,MFETR!K:K)</f>
        <v>0</v>
      </c>
      <c r="O30" s="14">
        <f>+SUMIF(MFETR!$A:$A,$B30,MFETR!L:L)</f>
        <v>-93681550.111277565</v>
      </c>
      <c r="P30" s="14">
        <f>+SUMIF(MFETR!$A:$A,$B30,MFETR!M:M)</f>
        <v>-87687720.540495187</v>
      </c>
      <c r="Q30" s="14">
        <f t="shared" si="0"/>
        <v>-181369270.65177274</v>
      </c>
      <c r="R30" s="14">
        <f t="shared" si="1"/>
        <v>0</v>
      </c>
      <c r="S30" s="14">
        <f t="shared" si="2"/>
        <v>181369270.65177274</v>
      </c>
      <c r="T30" s="14">
        <f t="shared" si="3"/>
        <v>181369270.65177274</v>
      </c>
      <c r="U30" s="14">
        <f t="shared" si="4"/>
        <v>0</v>
      </c>
      <c r="V30" s="1"/>
      <c r="W30" s="1"/>
      <c r="X30" s="1"/>
      <c r="Y30" s="15"/>
    </row>
    <row r="31" spans="1:25" x14ac:dyDescent="0.25">
      <c r="A31" s="11" t="s">
        <v>35</v>
      </c>
      <c r="B31" s="12" t="s">
        <v>35</v>
      </c>
      <c r="C31" s="13">
        <v>0</v>
      </c>
      <c r="D31" s="13"/>
      <c r="E31" s="14">
        <f>+SUMIF(MFETR!$A:$A,$B31,MFETR!B:B)</f>
        <v>91594.376110193829</v>
      </c>
      <c r="F31" s="14">
        <f>+SUMIF(MFETR!$A:$A,$B31,MFETR!C:C)</f>
        <v>109413.45943959701</v>
      </c>
      <c r="G31" s="14">
        <f>+SUMIF(MFETR!$A:$A,$B31,MFETR!D:D)</f>
        <v>213578.9337776243</v>
      </c>
      <c r="H31" s="14">
        <f>+SUMIF(MFETR!$A:$A,$B31,MFETR!E:E)</f>
        <v>763738.63998115051</v>
      </c>
      <c r="I31" s="14">
        <f>+SUMIF(MFETR!$A:$A,$B31,MFETR!F:F)</f>
        <v>865019.39677693497</v>
      </c>
      <c r="J31" s="14">
        <f>+SUMIF(MFETR!$A:$A,$B31,MFETR!G:G)</f>
        <v>940547.11221968068</v>
      </c>
      <c r="K31" s="14">
        <f>+SUMIF(MFETR!$A:$A,$B31,MFETR!H:H)</f>
        <v>941980.58943791711</v>
      </c>
      <c r="L31" s="14">
        <f>+SUMIF(MFETR!$A:$A,$B31,MFETR!I:I)</f>
        <v>1708217.5431100661</v>
      </c>
      <c r="M31" s="14">
        <f>+SUMIF(MFETR!$A:$A,$B31,MFETR!J:J)</f>
        <v>1777426.98186261</v>
      </c>
      <c r="N31" s="14">
        <f>+SUMIF(MFETR!$A:$A,$B31,MFETR!K:K)</f>
        <v>-111529330.9634213</v>
      </c>
      <c r="O31" s="14">
        <f>+SUMIF(MFETR!$A:$A,$B31,MFETR!L:L)</f>
        <v>-1084587942.096504</v>
      </c>
      <c r="P31" s="14">
        <f>+SUMIF(MFETR!$A:$A,$B31,MFETR!M:M)</f>
        <v>-560556218.18183744</v>
      </c>
      <c r="Q31" s="14">
        <f t="shared" si="0"/>
        <v>-1749261974.2090468</v>
      </c>
      <c r="R31" s="14">
        <f t="shared" si="1"/>
        <v>0</v>
      </c>
      <c r="S31" s="14">
        <f t="shared" si="2"/>
        <v>1749261974.2090468</v>
      </c>
      <c r="T31" s="14">
        <f t="shared" si="3"/>
        <v>1749261974.2090466</v>
      </c>
      <c r="U31" s="14">
        <f t="shared" si="4"/>
        <v>0</v>
      </c>
      <c r="V31" s="1"/>
      <c r="W31" s="1"/>
      <c r="X31" s="1"/>
      <c r="Y31" s="15"/>
    </row>
    <row r="32" spans="1:25" x14ac:dyDescent="0.25">
      <c r="A32" s="11" t="s">
        <v>36</v>
      </c>
      <c r="B32" s="12" t="s">
        <v>36</v>
      </c>
      <c r="C32" s="13">
        <v>1212632.6594046839</v>
      </c>
      <c r="D32" s="13"/>
      <c r="E32" s="14">
        <f>+SUMIF(MFETR!$A:$A,$B32,MFETR!B:B)</f>
        <v>252.277747649845</v>
      </c>
      <c r="F32" s="14">
        <f>+SUMIF(MFETR!$A:$A,$B32,MFETR!C:C)</f>
        <v>112.6670238897786</v>
      </c>
      <c r="G32" s="14">
        <f>+SUMIF(MFETR!$A:$A,$B32,MFETR!D:D)</f>
        <v>12.434966792796329</v>
      </c>
      <c r="H32" s="14">
        <f>+SUMIF(MFETR!$A:$A,$B32,MFETR!E:E)</f>
        <v>0</v>
      </c>
      <c r="I32" s="14">
        <f>+SUMIF(MFETR!$A:$A,$B32,MFETR!F:F)</f>
        <v>0</v>
      </c>
      <c r="J32" s="14">
        <f>+SUMIF(MFETR!$A:$A,$B32,MFETR!G:G)</f>
        <v>196.047629911076</v>
      </c>
      <c r="K32" s="14">
        <f>+SUMIF(MFETR!$A:$A,$B32,MFETR!H:H)</f>
        <v>564.7582908491022</v>
      </c>
      <c r="L32" s="14">
        <f>+SUMIF(MFETR!$A:$A,$B32,MFETR!I:I)</f>
        <v>540.19615447788965</v>
      </c>
      <c r="M32" s="14">
        <f>+SUMIF(MFETR!$A:$A,$B32,MFETR!J:J)</f>
        <v>-2504.8451405553392</v>
      </c>
      <c r="N32" s="14">
        <f>+SUMIF(MFETR!$A:$A,$B32,MFETR!K:K)</f>
        <v>13843.75618946921</v>
      </c>
      <c r="O32" s="14">
        <f>+SUMIF(MFETR!$A:$A,$B32,MFETR!L:L)</f>
        <v>8223409.551476012</v>
      </c>
      <c r="P32" s="14">
        <f>+SUMIF(MFETR!$A:$A,$B32,MFETR!M:M)</f>
        <v>7347027.6087065553</v>
      </c>
      <c r="Q32" s="14">
        <f t="shared" si="0"/>
        <v>16807918.806658581</v>
      </c>
      <c r="R32" s="14">
        <f t="shared" si="1"/>
        <v>16807918.806658581</v>
      </c>
      <c r="S32" s="14">
        <f t="shared" si="2"/>
        <v>0</v>
      </c>
      <c r="T32" s="14">
        <f t="shared" si="3"/>
        <v>-15905488.743299071</v>
      </c>
      <c r="U32" s="14">
        <f t="shared" si="4"/>
        <v>902430.06335951015</v>
      </c>
      <c r="V32" s="1"/>
      <c r="W32" s="1"/>
      <c r="X32" s="1"/>
      <c r="Y32" s="15"/>
    </row>
    <row r="33" spans="1:25" x14ac:dyDescent="0.25">
      <c r="A33" s="11" t="s">
        <v>13</v>
      </c>
      <c r="B33" s="12" t="s">
        <v>37</v>
      </c>
      <c r="C33" s="13">
        <v>0</v>
      </c>
      <c r="D33" s="13"/>
      <c r="E33" s="14">
        <f>+SUMIF(MFETR!$A:$A,$B33,MFETR!B:B)</f>
        <v>0</v>
      </c>
      <c r="F33" s="14">
        <f>+SUMIF(MFETR!$A:$A,$B33,MFETR!C:C)</f>
        <v>0</v>
      </c>
      <c r="G33" s="14">
        <f>+SUMIF(MFETR!$A:$A,$B33,MFETR!D:D)</f>
        <v>0</v>
      </c>
      <c r="H33" s="14">
        <f>+SUMIF(MFETR!$A:$A,$B33,MFETR!E:E)</f>
        <v>0</v>
      </c>
      <c r="I33" s="14">
        <f>+SUMIF(MFETR!$A:$A,$B33,MFETR!F:F)</f>
        <v>0</v>
      </c>
      <c r="J33" s="14">
        <f>+SUMIF(MFETR!$A:$A,$B33,MFETR!G:G)</f>
        <v>0</v>
      </c>
      <c r="K33" s="14">
        <f>+SUMIF(MFETR!$A:$A,$B33,MFETR!H:H)</f>
        <v>0</v>
      </c>
      <c r="L33" s="14">
        <f>+SUMIF(MFETR!$A:$A,$B33,MFETR!I:I)</f>
        <v>0</v>
      </c>
      <c r="M33" s="14">
        <f>+SUMIF(MFETR!$A:$A,$B33,MFETR!J:J)</f>
        <v>0</v>
      </c>
      <c r="N33" s="14">
        <f>+SUMIF(MFETR!$A:$A,$B33,MFETR!K:K)</f>
        <v>0</v>
      </c>
      <c r="O33" s="14">
        <f>+SUMIF(MFETR!$A:$A,$B33,MFETR!L:L)</f>
        <v>0</v>
      </c>
      <c r="P33" s="14">
        <f>+SUMIF(MFETR!$A:$A,$B33,MFETR!M:M)</f>
        <v>0</v>
      </c>
      <c r="Q33" s="14">
        <f t="shared" si="0"/>
        <v>0</v>
      </c>
      <c r="R33" s="14">
        <f t="shared" si="1"/>
        <v>0</v>
      </c>
      <c r="S33" s="14">
        <f>+IF(Q33&lt;0,-Q33,0)</f>
        <v>0</v>
      </c>
      <c r="T33" s="14">
        <f t="shared" si="3"/>
        <v>0</v>
      </c>
      <c r="U33" s="14">
        <f>+T33+Q33</f>
        <v>0</v>
      </c>
      <c r="V33" s="1"/>
      <c r="W33" s="1"/>
      <c r="X33" s="1"/>
      <c r="Y33" s="15"/>
    </row>
    <row r="34" spans="1:25" x14ac:dyDescent="0.25">
      <c r="A34" s="11" t="s">
        <v>38</v>
      </c>
      <c r="B34" s="12" t="s">
        <v>38</v>
      </c>
      <c r="C34" s="13">
        <v>0</v>
      </c>
      <c r="D34" s="13"/>
      <c r="E34" s="14">
        <f>+SUMIF(MFETR!$A:$A,$B34,MFETR!B:B)</f>
        <v>19641.16609880449</v>
      </c>
      <c r="F34" s="14">
        <f>+SUMIF(MFETR!$A:$A,$B34,MFETR!C:C)</f>
        <v>36751.664740545733</v>
      </c>
      <c r="G34" s="14">
        <f>+SUMIF(MFETR!$A:$A,$B34,MFETR!D:D)</f>
        <v>44563.208334265582</v>
      </c>
      <c r="H34" s="14">
        <f>+SUMIF(MFETR!$A:$A,$B34,MFETR!E:E)</f>
        <v>44780.935998209658</v>
      </c>
      <c r="I34" s="14">
        <f>+SUMIF(MFETR!$A:$A,$B34,MFETR!F:F)</f>
        <v>46759.202210287927</v>
      </c>
      <c r="J34" s="14">
        <f>+SUMIF(MFETR!$A:$A,$B34,MFETR!G:G)</f>
        <v>-25384.789183684021</v>
      </c>
      <c r="K34" s="14">
        <f>+SUMIF(MFETR!$A:$A,$B34,MFETR!H:H)</f>
        <v>15033.718297747469</v>
      </c>
      <c r="L34" s="14">
        <f>+SUMIF(MFETR!$A:$A,$B34,MFETR!I:I)</f>
        <v>598229.11821075412</v>
      </c>
      <c r="M34" s="14">
        <f>+SUMIF(MFETR!$A:$A,$B34,MFETR!J:J)</f>
        <v>488319.63216526061</v>
      </c>
      <c r="N34" s="14">
        <f>+SUMIF(MFETR!$A:$A,$B34,MFETR!K:K)</f>
        <v>-76880830.454292849</v>
      </c>
      <c r="O34" s="14">
        <f>+SUMIF(MFETR!$A:$A,$B34,MFETR!L:L)</f>
        <v>-121259863.8734473</v>
      </c>
      <c r="P34" s="14">
        <f>+SUMIF(MFETR!$A:$A,$B34,MFETR!M:M)</f>
        <v>-88571308.935074136</v>
      </c>
      <c r="Q34" s="14">
        <f t="shared" si="0"/>
        <v>-285443309.40594208</v>
      </c>
      <c r="R34" s="14">
        <f t="shared" si="1"/>
        <v>0</v>
      </c>
      <c r="S34" s="14">
        <f t="shared" si="2"/>
        <v>285443309.40594208</v>
      </c>
      <c r="T34" s="14">
        <f t="shared" si="3"/>
        <v>285443309.40594208</v>
      </c>
      <c r="U34" s="14">
        <f t="shared" si="4"/>
        <v>0</v>
      </c>
      <c r="V34" s="1"/>
      <c r="W34" s="1"/>
      <c r="X34" s="1"/>
      <c r="Y34" s="15"/>
    </row>
    <row r="35" spans="1:25" x14ac:dyDescent="0.25">
      <c r="A35" s="11" t="s">
        <v>39</v>
      </c>
      <c r="B35" s="12" t="s">
        <v>39</v>
      </c>
      <c r="C35" s="13">
        <v>0</v>
      </c>
      <c r="D35" s="13"/>
      <c r="E35" s="14">
        <f>+SUMIF(MFETR!$A:$A,$B35,MFETR!B:B)</f>
        <v>-191715.89291229489</v>
      </c>
      <c r="F35" s="14">
        <f>+SUMIF(MFETR!$A:$A,$B35,MFETR!C:C)</f>
        <v>-253567.42200339161</v>
      </c>
      <c r="G35" s="14">
        <f>+SUMIF(MFETR!$A:$A,$B35,MFETR!D:D)</f>
        <v>-158315.90371881539</v>
      </c>
      <c r="H35" s="14">
        <f>+SUMIF(MFETR!$A:$A,$B35,MFETR!E:E)</f>
        <v>10234.281469947709</v>
      </c>
      <c r="I35" s="14">
        <f>+SUMIF(MFETR!$A:$A,$B35,MFETR!F:F)</f>
        <v>-43250.015103619393</v>
      </c>
      <c r="J35" s="14">
        <f>+SUMIF(MFETR!$A:$A,$B35,MFETR!G:G)</f>
        <v>695307.67686782684</v>
      </c>
      <c r="K35" s="14">
        <f>+SUMIF(MFETR!$A:$A,$B35,MFETR!H:H)</f>
        <v>585952.76192173443</v>
      </c>
      <c r="L35" s="14">
        <f>+SUMIF(MFETR!$A:$A,$B35,MFETR!I:I)</f>
        <v>724716.48399719968</v>
      </c>
      <c r="M35" s="14">
        <f>+SUMIF(MFETR!$A:$A,$B35,MFETR!J:J)</f>
        <v>1109886.5367888331</v>
      </c>
      <c r="N35" s="14">
        <f>+SUMIF(MFETR!$A:$A,$B35,MFETR!K:K)</f>
        <v>-10492473.897144999</v>
      </c>
      <c r="O35" s="14">
        <f>+SUMIF(MFETR!$A:$A,$B35,MFETR!L:L)</f>
        <v>-247230697.8952266</v>
      </c>
      <c r="P35" s="14">
        <f>+SUMIF(MFETR!$A:$A,$B35,MFETR!M:M)</f>
        <v>-131272859.7084875</v>
      </c>
      <c r="Q35" s="14">
        <f t="shared" si="0"/>
        <v>-386516782.99355167</v>
      </c>
      <c r="R35" s="14">
        <f t="shared" si="1"/>
        <v>0</v>
      </c>
      <c r="S35" s="14">
        <f t="shared" si="2"/>
        <v>386516782.99355167</v>
      </c>
      <c r="T35" s="14">
        <f t="shared" si="3"/>
        <v>386516782.99355167</v>
      </c>
      <c r="U35" s="14">
        <f t="shared" si="4"/>
        <v>0</v>
      </c>
      <c r="V35" s="1"/>
      <c r="W35" s="1"/>
      <c r="X35" s="1"/>
      <c r="Y35" s="15"/>
    </row>
    <row r="36" spans="1:25" x14ac:dyDescent="0.25">
      <c r="A36" s="11" t="s">
        <v>40</v>
      </c>
      <c r="B36" s="12" t="s">
        <v>40</v>
      </c>
      <c r="C36" s="13">
        <v>0</v>
      </c>
      <c r="D36" s="13"/>
      <c r="E36" s="14">
        <f>+SUMIF(MFETR!$A:$A,$B36,MFETR!B:B)</f>
        <v>-61484.559002990092</v>
      </c>
      <c r="F36" s="14">
        <f>+SUMIF(MFETR!$A:$A,$B36,MFETR!C:C)</f>
        <v>-50827.058808377318</v>
      </c>
      <c r="G36" s="14">
        <f>+SUMIF(MFETR!$A:$A,$B36,MFETR!D:D)</f>
        <v>-47798.483084476473</v>
      </c>
      <c r="H36" s="14">
        <f>+SUMIF(MFETR!$A:$A,$B36,MFETR!E:E)</f>
        <v>-49816.011476280582</v>
      </c>
      <c r="I36" s="14">
        <f>+SUMIF(MFETR!$A:$A,$B36,MFETR!F:F)</f>
        <v>-42559.886426632344</v>
      </c>
      <c r="J36" s="14">
        <f>+SUMIF(MFETR!$A:$A,$B36,MFETR!G:G)</f>
        <v>8639.155731716899</v>
      </c>
      <c r="K36" s="14">
        <f>+SUMIF(MFETR!$A:$A,$B36,MFETR!H:H)</f>
        <v>36160.842038567767</v>
      </c>
      <c r="L36" s="14">
        <f>+SUMIF(MFETR!$A:$A,$B36,MFETR!I:I)</f>
        <v>-10609.0095928479</v>
      </c>
      <c r="M36" s="14">
        <f>+SUMIF(MFETR!$A:$A,$B36,MFETR!J:J)</f>
        <v>-229317.62091773219</v>
      </c>
      <c r="N36" s="14">
        <f>+SUMIF(MFETR!$A:$A,$B36,MFETR!K:K)</f>
        <v>-22622316.979748771</v>
      </c>
      <c r="O36" s="14">
        <f>+SUMIF(MFETR!$A:$A,$B36,MFETR!L:L)</f>
        <v>-228919036.78192449</v>
      </c>
      <c r="P36" s="14">
        <f>+SUMIF(MFETR!$A:$A,$B36,MFETR!M:M)</f>
        <v>-37721468.861549482</v>
      </c>
      <c r="Q36" s="14">
        <f t="shared" si="0"/>
        <v>-289710435.25476182</v>
      </c>
      <c r="R36" s="14">
        <f t="shared" si="1"/>
        <v>0</v>
      </c>
      <c r="S36" s="14">
        <f t="shared" si="2"/>
        <v>289710435.25476182</v>
      </c>
      <c r="T36" s="14">
        <f t="shared" si="3"/>
        <v>289710435.25476182</v>
      </c>
      <c r="U36" s="14">
        <f t="shared" si="4"/>
        <v>0</v>
      </c>
      <c r="V36" s="1"/>
      <c r="W36" s="1"/>
      <c r="X36" s="1"/>
      <c r="Y36" s="15"/>
    </row>
    <row r="37" spans="1:25" x14ac:dyDescent="0.25">
      <c r="A37" s="11" t="s">
        <v>41</v>
      </c>
      <c r="B37" s="12" t="s">
        <v>41</v>
      </c>
      <c r="C37" s="13">
        <v>0</v>
      </c>
      <c r="D37" s="13"/>
      <c r="E37" s="14">
        <f>+SUMIF(MFETR!$A:$A,$B37,MFETR!B:B)</f>
        <v>0</v>
      </c>
      <c r="F37" s="14">
        <f>+SUMIF(MFETR!$A:$A,$B37,MFETR!C:C)</f>
        <v>0</v>
      </c>
      <c r="G37" s="14">
        <f>+SUMIF(MFETR!$A:$A,$B37,MFETR!D:D)</f>
        <v>0</v>
      </c>
      <c r="H37" s="14">
        <f>+SUMIF(MFETR!$A:$A,$B37,MFETR!E:E)</f>
        <v>0</v>
      </c>
      <c r="I37" s="14">
        <f>+SUMIF(MFETR!$A:$A,$B37,MFETR!F:F)</f>
        <v>0</v>
      </c>
      <c r="J37" s="14">
        <f>+SUMIF(MFETR!$A:$A,$B37,MFETR!G:G)</f>
        <v>0</v>
      </c>
      <c r="K37" s="14">
        <f>+SUMIF(MFETR!$A:$A,$B37,MFETR!H:H)</f>
        <v>0</v>
      </c>
      <c r="L37" s="14">
        <f>+SUMIF(MFETR!$A:$A,$B37,MFETR!I:I)</f>
        <v>0</v>
      </c>
      <c r="M37" s="14">
        <f>+SUMIF(MFETR!$A:$A,$B37,MFETR!J:J)</f>
        <v>0</v>
      </c>
      <c r="N37" s="14">
        <f>+SUMIF(MFETR!$A:$A,$B37,MFETR!K:K)</f>
        <v>0</v>
      </c>
      <c r="O37" s="14">
        <f>+SUMIF(MFETR!$A:$A,$B37,MFETR!L:L)</f>
        <v>0</v>
      </c>
      <c r="P37" s="14">
        <f>+SUMIF(MFETR!$A:$A,$B37,MFETR!M:M)</f>
        <v>-2031907.1195810279</v>
      </c>
      <c r="Q37" s="14">
        <f t="shared" si="0"/>
        <v>-2031907.1195810279</v>
      </c>
      <c r="R37" s="14">
        <f t="shared" si="1"/>
        <v>0</v>
      </c>
      <c r="S37" s="14">
        <f t="shared" si="2"/>
        <v>2031907.1195810279</v>
      </c>
      <c r="T37" s="14">
        <f t="shared" si="3"/>
        <v>2031907.1195810281</v>
      </c>
      <c r="U37" s="14">
        <f t="shared" si="4"/>
        <v>0</v>
      </c>
      <c r="V37" s="1"/>
      <c r="W37" s="1"/>
      <c r="X37" s="1"/>
      <c r="Y37" s="15"/>
    </row>
    <row r="38" spans="1:25" x14ac:dyDescent="0.25">
      <c r="A38" s="11" t="s">
        <v>42</v>
      </c>
      <c r="B38" s="12" t="s">
        <v>42</v>
      </c>
      <c r="C38" s="13">
        <v>16086766.475300848</v>
      </c>
      <c r="D38" s="13"/>
      <c r="E38" s="14">
        <f>+SUMIF(MFETR!$A:$A,$B38,MFETR!B:B)</f>
        <v>-80.324701361294501</v>
      </c>
      <c r="F38" s="14">
        <f>+SUMIF(MFETR!$A:$A,$B38,MFETR!C:C)</f>
        <v>-5456.7979975471644</v>
      </c>
      <c r="G38" s="14">
        <f>+SUMIF(MFETR!$A:$A,$B38,MFETR!D:D)</f>
        <v>-2662.1373430816911</v>
      </c>
      <c r="H38" s="14">
        <f>+SUMIF(MFETR!$A:$A,$B38,MFETR!E:E)</f>
        <v>1079.504246288614</v>
      </c>
      <c r="I38" s="14">
        <f>+SUMIF(MFETR!$A:$A,$B38,MFETR!F:F)</f>
        <v>11775.71681806802</v>
      </c>
      <c r="J38" s="14">
        <f>+SUMIF(MFETR!$A:$A,$B38,MFETR!G:G)</f>
        <v>15093.557472546379</v>
      </c>
      <c r="K38" s="14">
        <f>+SUMIF(MFETR!$A:$A,$B38,MFETR!H:H)</f>
        <v>-55511.026000833583</v>
      </c>
      <c r="L38" s="14">
        <f>+SUMIF(MFETR!$A:$A,$B38,MFETR!I:I)</f>
        <v>-321801.49153737701</v>
      </c>
      <c r="M38" s="14">
        <f>+SUMIF(MFETR!$A:$A,$B38,MFETR!J:J)</f>
        <v>-92198.716627933158</v>
      </c>
      <c r="N38" s="14">
        <f>+SUMIF(MFETR!$A:$A,$B38,MFETR!K:K)</f>
        <v>-3084730.7068734998</v>
      </c>
      <c r="O38" s="14">
        <f>+SUMIF(MFETR!$A:$A,$B38,MFETR!L:L)</f>
        <v>329573486.21558517</v>
      </c>
      <c r="P38" s="14">
        <f>+SUMIF(MFETR!$A:$A,$B38,MFETR!M:M)</f>
        <v>-28051355.543745879</v>
      </c>
      <c r="Q38" s="14">
        <f t="shared" si="0"/>
        <v>314231363.8005932</v>
      </c>
      <c r="R38" s="14">
        <f t="shared" si="1"/>
        <v>314231363.8005932</v>
      </c>
      <c r="S38" s="14">
        <f t="shared" si="2"/>
        <v>0</v>
      </c>
      <c r="T38" s="14">
        <f t="shared" si="3"/>
        <v>-297360040.6578508</v>
      </c>
      <c r="U38" s="14">
        <f t="shared" si="4"/>
        <v>16871323.142742395</v>
      </c>
      <c r="V38" s="1"/>
      <c r="W38" s="1"/>
      <c r="X38" s="1"/>
      <c r="Y38" s="15"/>
    </row>
    <row r="39" spans="1:25" x14ac:dyDescent="0.25">
      <c r="A39" s="11" t="s">
        <v>43</v>
      </c>
      <c r="B39" s="12" t="s">
        <v>43</v>
      </c>
      <c r="C39" s="13">
        <v>0</v>
      </c>
      <c r="D39" s="13"/>
      <c r="E39" s="14">
        <f>+SUMIF(MFETR!$A:$A,$B39,MFETR!B:B)</f>
        <v>0</v>
      </c>
      <c r="F39" s="14">
        <f>+SUMIF(MFETR!$A:$A,$B39,MFETR!C:C)</f>
        <v>0</v>
      </c>
      <c r="G39" s="14">
        <f>+SUMIF(MFETR!$A:$A,$B39,MFETR!D:D)</f>
        <v>0</v>
      </c>
      <c r="H39" s="14">
        <f>+SUMIF(MFETR!$A:$A,$B39,MFETR!E:E)</f>
        <v>0</v>
      </c>
      <c r="I39" s="14">
        <f>+SUMIF(MFETR!$A:$A,$B39,MFETR!F:F)</f>
        <v>0</v>
      </c>
      <c r="J39" s="14">
        <f>+SUMIF(MFETR!$A:$A,$B39,MFETR!G:G)</f>
        <v>0</v>
      </c>
      <c r="K39" s="14">
        <f>+SUMIF(MFETR!$A:$A,$B39,MFETR!H:H)</f>
        <v>0</v>
      </c>
      <c r="L39" s="14">
        <f>+SUMIF(MFETR!$A:$A,$B39,MFETR!I:I)</f>
        <v>0</v>
      </c>
      <c r="M39" s="14">
        <f>+SUMIF(MFETR!$A:$A,$B39,MFETR!J:J)</f>
        <v>0</v>
      </c>
      <c r="N39" s="14">
        <f>+SUMIF(MFETR!$A:$A,$B39,MFETR!K:K)</f>
        <v>0</v>
      </c>
      <c r="O39" s="14">
        <f>+SUMIF(MFETR!$A:$A,$B39,MFETR!L:L)</f>
        <v>0</v>
      </c>
      <c r="P39" s="14">
        <f>+SUMIF(MFETR!$A:$A,$B39,MFETR!M:M)</f>
        <v>-214035203.8634761</v>
      </c>
      <c r="Q39" s="14">
        <f t="shared" si="0"/>
        <v>-214035203.8634761</v>
      </c>
      <c r="R39" s="14">
        <f t="shared" si="1"/>
        <v>0</v>
      </c>
      <c r="S39" s="14">
        <f t="shared" si="2"/>
        <v>214035203.8634761</v>
      </c>
      <c r="T39" s="14">
        <f t="shared" si="3"/>
        <v>214035203.8634761</v>
      </c>
      <c r="U39" s="14">
        <f t="shared" si="4"/>
        <v>0</v>
      </c>
      <c r="V39" s="1"/>
      <c r="W39" s="1"/>
      <c r="X39" s="1"/>
      <c r="Y39" s="15"/>
    </row>
    <row r="40" spans="1:25" x14ac:dyDescent="0.25">
      <c r="A40" s="11" t="s">
        <v>44</v>
      </c>
      <c r="B40" s="12" t="s">
        <v>44</v>
      </c>
      <c r="C40" s="13">
        <v>0</v>
      </c>
      <c r="D40" s="13"/>
      <c r="E40" s="14">
        <f>+SUMIF(MFETR!$A:$A,$B40,MFETR!B:B)</f>
        <v>0</v>
      </c>
      <c r="F40" s="14">
        <f>+SUMIF(MFETR!$A:$A,$B40,MFETR!C:C)</f>
        <v>0</v>
      </c>
      <c r="G40" s="14">
        <f>+SUMIF(MFETR!$A:$A,$B40,MFETR!D:D)</f>
        <v>0</v>
      </c>
      <c r="H40" s="14">
        <f>+SUMIF(MFETR!$A:$A,$B40,MFETR!E:E)</f>
        <v>0</v>
      </c>
      <c r="I40" s="14">
        <f>+SUMIF(MFETR!$A:$A,$B40,MFETR!F:F)</f>
        <v>0</v>
      </c>
      <c r="J40" s="14">
        <f>+SUMIF(MFETR!$A:$A,$B40,MFETR!G:G)</f>
        <v>0</v>
      </c>
      <c r="K40" s="14">
        <f>+SUMIF(MFETR!$A:$A,$B40,MFETR!H:H)</f>
        <v>0</v>
      </c>
      <c r="L40" s="14">
        <f>+SUMIF(MFETR!$A:$A,$B40,MFETR!I:I)</f>
        <v>0</v>
      </c>
      <c r="M40" s="14">
        <f>+SUMIF(MFETR!$A:$A,$B40,MFETR!J:J)</f>
        <v>0</v>
      </c>
      <c r="N40" s="14">
        <f>+SUMIF(MFETR!$A:$A,$B40,MFETR!K:K)</f>
        <v>0</v>
      </c>
      <c r="O40" s="14">
        <f>+SUMIF(MFETR!$A:$A,$B40,MFETR!L:L)</f>
        <v>-65855856.216941923</v>
      </c>
      <c r="P40" s="14">
        <f>+SUMIF(MFETR!$A:$A,$B40,MFETR!M:M)</f>
        <v>-4478482.9916431205</v>
      </c>
      <c r="Q40" s="14">
        <f t="shared" si="0"/>
        <v>-70334339.208585039</v>
      </c>
      <c r="R40" s="14">
        <f t="shared" si="1"/>
        <v>0</v>
      </c>
      <c r="S40" s="14">
        <f t="shared" si="2"/>
        <v>70334339.208585039</v>
      </c>
      <c r="T40" s="14">
        <f t="shared" si="3"/>
        <v>70334339.208585039</v>
      </c>
      <c r="U40" s="14">
        <f t="shared" si="4"/>
        <v>0</v>
      </c>
      <c r="V40" s="1"/>
      <c r="W40" s="1"/>
      <c r="X40" s="1"/>
      <c r="Y40" s="15"/>
    </row>
    <row r="41" spans="1:25" x14ac:dyDescent="0.25">
      <c r="B41" s="16" t="s">
        <v>45</v>
      </c>
      <c r="C41" s="17">
        <f>SUM(C7:C40)</f>
        <v>521705300.8555553</v>
      </c>
      <c r="D41" s="17">
        <f>+SUM(D7:D40)</f>
        <v>-903512715.24480915</v>
      </c>
      <c r="E41" s="17">
        <f t="shared" ref="E41:U41" si="5">+SUM(E7:E40)</f>
        <v>2034036.5163899297</v>
      </c>
      <c r="F41" s="17">
        <f t="shared" si="5"/>
        <v>3434259.9609116754</v>
      </c>
      <c r="G41" s="17">
        <f t="shared" si="5"/>
        <v>3810884.9894889351</v>
      </c>
      <c r="H41" s="17">
        <f t="shared" si="5"/>
        <v>5312824.8570329659</v>
      </c>
      <c r="I41" s="17">
        <f t="shared" si="5"/>
        <v>5938843.6618502336</v>
      </c>
      <c r="J41" s="17">
        <f t="shared" si="5"/>
        <v>10361177.604270825</v>
      </c>
      <c r="K41" s="17">
        <f t="shared" si="5"/>
        <v>15677584.633715622</v>
      </c>
      <c r="L41" s="17">
        <f t="shared" si="5"/>
        <v>20072522.999681246</v>
      </c>
      <c r="M41" s="17">
        <f t="shared" si="5"/>
        <v>28197166.012332957</v>
      </c>
      <c r="N41" s="17">
        <f t="shared" si="5"/>
        <v>9716868.9536252245</v>
      </c>
      <c r="O41" s="17">
        <f t="shared" si="5"/>
        <v>776883597.21488178</v>
      </c>
      <c r="P41" s="17">
        <f t="shared" si="5"/>
        <v>-105026892.34554364</v>
      </c>
      <c r="Q41" s="17">
        <f t="shared" si="5"/>
        <v>390880153.96690565</v>
      </c>
      <c r="R41" s="17">
        <f t="shared" si="5"/>
        <v>7280211683.7199535</v>
      </c>
      <c r="S41" s="17">
        <f>+SUM(S7:S40)</f>
        <v>6889331529.7530432</v>
      </c>
      <c r="T41" s="17">
        <f t="shared" si="5"/>
        <v>2.9951333999633789E-6</v>
      </c>
      <c r="U41" s="17">
        <f t="shared" si="5"/>
        <v>390880153.96691036</v>
      </c>
      <c r="V41" s="1"/>
      <c r="W41" s="1"/>
      <c r="X41" s="1"/>
      <c r="Y41" s="15"/>
    </row>
    <row r="42" spans="1:25" x14ac:dyDescent="0.25">
      <c r="T42" s="1"/>
    </row>
    <row r="43" spans="1:25" x14ac:dyDescent="0.25">
      <c r="C43" s="1"/>
      <c r="D43" s="1"/>
      <c r="H43" s="1"/>
      <c r="R43" s="18" t="s">
        <v>46</v>
      </c>
      <c r="S43" s="14">
        <f>+R41</f>
        <v>7280211683.7199535</v>
      </c>
      <c r="U43" s="1"/>
    </row>
    <row r="44" spans="1:25" x14ac:dyDescent="0.25">
      <c r="C44" s="1"/>
      <c r="D44" s="1"/>
      <c r="R44" s="18" t="s">
        <v>47</v>
      </c>
      <c r="S44" s="14">
        <f>+S41</f>
        <v>6889331529.7530432</v>
      </c>
      <c r="T44" s="1"/>
      <c r="U44" s="1"/>
    </row>
    <row r="45" spans="1:25" x14ac:dyDescent="0.25">
      <c r="R45" s="18" t="s">
        <v>48</v>
      </c>
      <c r="S45" s="14">
        <f>+IF(S44&lt;S43,S44,S43)</f>
        <v>6889331529.7530432</v>
      </c>
      <c r="U45" s="1"/>
    </row>
    <row r="46" spans="1:25" s="19" customFormat="1" x14ac:dyDescent="0.25">
      <c r="N46" s="20"/>
      <c r="V46"/>
      <c r="W46"/>
      <c r="X46"/>
      <c r="Y46" s="21"/>
    </row>
    <row r="47" spans="1:25" s="19" customFormat="1" x14ac:dyDescent="0.25">
      <c r="B47" s="22" t="s">
        <v>49</v>
      </c>
      <c r="L47" s="20"/>
      <c r="V47"/>
      <c r="W47"/>
      <c r="X47"/>
      <c r="Y47" s="21"/>
    </row>
    <row r="48" spans="1:25" s="19" customFormat="1" x14ac:dyDescent="0.25">
      <c r="B48" s="23">
        <f>+B3</f>
        <v>45566</v>
      </c>
      <c r="V48"/>
      <c r="W48"/>
      <c r="X48"/>
      <c r="Y48" s="21"/>
    </row>
    <row r="49" spans="2:25" s="19" customFormat="1" ht="3" customHeight="1" x14ac:dyDescent="0.25">
      <c r="V49"/>
      <c r="W49"/>
      <c r="X49"/>
      <c r="Y49" s="21"/>
    </row>
    <row r="50" spans="2:25" s="19" customFormat="1" x14ac:dyDescent="0.25">
      <c r="C50" s="122" t="s">
        <v>50</v>
      </c>
      <c r="D50" s="123"/>
      <c r="E50" s="123"/>
      <c r="F50" s="123"/>
      <c r="G50" s="123"/>
      <c r="H50" s="123"/>
      <c r="I50" s="123"/>
      <c r="J50" s="123"/>
      <c r="K50" s="123"/>
      <c r="L50" s="124"/>
      <c r="V50"/>
      <c r="W50"/>
      <c r="X50"/>
    </row>
    <row r="51" spans="2:25" s="29" customFormat="1" ht="29.25" customHeight="1" x14ac:dyDescent="0.25">
      <c r="B51" s="24" t="s">
        <v>51</v>
      </c>
      <c r="C51" s="25" t="s">
        <v>11</v>
      </c>
      <c r="D51" s="26" t="s">
        <v>13</v>
      </c>
      <c r="E51" s="26" t="s">
        <v>14</v>
      </c>
      <c r="F51" s="26" t="s">
        <v>24</v>
      </c>
      <c r="G51" s="26" t="s">
        <v>26</v>
      </c>
      <c r="H51" s="25" t="s">
        <v>27</v>
      </c>
      <c r="I51" s="25" t="s">
        <v>28</v>
      </c>
      <c r="J51" s="25" t="s">
        <v>42</v>
      </c>
      <c r="K51" s="27" t="s">
        <v>36</v>
      </c>
      <c r="L51" s="28" t="s">
        <v>52</v>
      </c>
      <c r="V51"/>
      <c r="W51"/>
      <c r="X51"/>
    </row>
    <row r="52" spans="2:25" s="19" customFormat="1" ht="12.75" x14ac:dyDescent="0.2">
      <c r="B52" s="30" t="s">
        <v>15</v>
      </c>
      <c r="C52" s="31">
        <f t="shared" ref="C52:K67" si="6">+$L52*C$70/$L$70</f>
        <v>53430464.964252971</v>
      </c>
      <c r="D52" s="31">
        <f t="shared" si="6"/>
        <v>51819394.981260598</v>
      </c>
      <c r="E52" s="31">
        <f t="shared" si="6"/>
        <v>9906389.6399093401</v>
      </c>
      <c r="F52" s="31">
        <f t="shared" si="6"/>
        <v>380669.35530486377</v>
      </c>
      <c r="G52" s="31">
        <f t="shared" si="6"/>
        <v>1493321.4078215987</v>
      </c>
      <c r="H52" s="31">
        <f t="shared" si="6"/>
        <v>315917.18910937133</v>
      </c>
      <c r="I52" s="31">
        <f t="shared" si="6"/>
        <v>1226723.5740202807</v>
      </c>
      <c r="J52" s="31">
        <f t="shared" si="6"/>
        <v>5361691.4347271826</v>
      </c>
      <c r="K52" s="31">
        <f t="shared" si="6"/>
        <v>286791.46858949255</v>
      </c>
      <c r="L52" s="32">
        <f t="shared" ref="L52:L69" si="7">SUMIF($A$7:$A$40,B52,$T$7:$T$40)</f>
        <v>124221364.01499574</v>
      </c>
      <c r="X52" s="21"/>
    </row>
    <row r="53" spans="2:25" s="19" customFormat="1" ht="12.75" x14ac:dyDescent="0.2">
      <c r="B53" s="30" t="s">
        <v>10</v>
      </c>
      <c r="C53" s="31">
        <f t="shared" si="6"/>
        <v>35580270.859916382</v>
      </c>
      <c r="D53" s="31">
        <f t="shared" si="6"/>
        <v>34507431.489952065</v>
      </c>
      <c r="E53" s="31">
        <f t="shared" si="6"/>
        <v>6596836.2219505506</v>
      </c>
      <c r="F53" s="31">
        <f t="shared" si="6"/>
        <v>253494.30851628314</v>
      </c>
      <c r="G53" s="31">
        <f t="shared" si="6"/>
        <v>994428.55694315978</v>
      </c>
      <c r="H53" s="31">
        <f t="shared" si="6"/>
        <v>210374.7209636886</v>
      </c>
      <c r="I53" s="31">
        <f t="shared" si="6"/>
        <v>816896.44780534657</v>
      </c>
      <c r="J53" s="31">
        <f t="shared" si="6"/>
        <v>3570443.0729270196</v>
      </c>
      <c r="K53" s="31">
        <f t="shared" si="6"/>
        <v>190979.39985276738</v>
      </c>
      <c r="L53" s="32">
        <f t="shared" si="7"/>
        <v>82721155.078827292</v>
      </c>
      <c r="X53" s="21"/>
    </row>
    <row r="54" spans="2:25" s="19" customFormat="1" ht="12.75" x14ac:dyDescent="0.2">
      <c r="B54" s="30" t="s">
        <v>16</v>
      </c>
      <c r="C54" s="31">
        <f t="shared" si="6"/>
        <v>347911070.18978196</v>
      </c>
      <c r="D54" s="31">
        <f t="shared" si="6"/>
        <v>337420630.28235251</v>
      </c>
      <c r="E54" s="31">
        <f t="shared" si="6"/>
        <v>64505196.120671913</v>
      </c>
      <c r="F54" s="31">
        <f t="shared" si="6"/>
        <v>2478718.5153858634</v>
      </c>
      <c r="G54" s="31">
        <f t="shared" si="6"/>
        <v>9723723.1508301217</v>
      </c>
      <c r="H54" s="31">
        <f t="shared" si="6"/>
        <v>2057086.484797088</v>
      </c>
      <c r="I54" s="31">
        <f t="shared" si="6"/>
        <v>7987778.3536035009</v>
      </c>
      <c r="J54" s="31">
        <f t="shared" si="6"/>
        <v>34912513.04534483</v>
      </c>
      <c r="K54" s="31">
        <f t="shared" si="6"/>
        <v>1867435.1201140559</v>
      </c>
      <c r="L54" s="32">
        <f t="shared" si="7"/>
        <v>808864151.26288211</v>
      </c>
      <c r="X54" s="21"/>
    </row>
    <row r="55" spans="2:25" s="19" customFormat="1" ht="12.75" x14ac:dyDescent="0.2">
      <c r="B55" s="30" t="s">
        <v>18</v>
      </c>
      <c r="C55" s="31">
        <f t="shared" si="6"/>
        <v>214278534.93485922</v>
      </c>
      <c r="D55" s="31">
        <f t="shared" si="6"/>
        <v>207817469.77542073</v>
      </c>
      <c r="E55" s="31">
        <f t="shared" si="6"/>
        <v>39728770.093126215</v>
      </c>
      <c r="F55" s="31">
        <f t="shared" si="6"/>
        <v>1526643.494566191</v>
      </c>
      <c r="G55" s="31">
        <f t="shared" si="6"/>
        <v>5988844.0736751407</v>
      </c>
      <c r="H55" s="31">
        <f t="shared" si="6"/>
        <v>1266960.1974900465</v>
      </c>
      <c r="I55" s="31">
        <f t="shared" si="6"/>
        <v>4919675.140146804</v>
      </c>
      <c r="J55" s="31">
        <f t="shared" si="6"/>
        <v>21502627.502395485</v>
      </c>
      <c r="K55" s="31">
        <f t="shared" si="6"/>
        <v>1150153.8637608292</v>
      </c>
      <c r="L55" s="32">
        <f t="shared" si="7"/>
        <v>498179679.07544082</v>
      </c>
      <c r="X55" s="21"/>
    </row>
    <row r="56" spans="2:25" s="19" customFormat="1" ht="12.75" x14ac:dyDescent="0.2">
      <c r="B56" s="30" t="s">
        <v>19</v>
      </c>
      <c r="C56" s="31">
        <f t="shared" si="6"/>
        <v>0</v>
      </c>
      <c r="D56" s="31">
        <f t="shared" si="6"/>
        <v>0</v>
      </c>
      <c r="E56" s="31">
        <f t="shared" si="6"/>
        <v>0</v>
      </c>
      <c r="F56" s="31">
        <f t="shared" si="6"/>
        <v>0</v>
      </c>
      <c r="G56" s="31">
        <f t="shared" si="6"/>
        <v>0</v>
      </c>
      <c r="H56" s="31">
        <f t="shared" si="6"/>
        <v>0</v>
      </c>
      <c r="I56" s="31">
        <f t="shared" si="6"/>
        <v>0</v>
      </c>
      <c r="J56" s="31">
        <f t="shared" si="6"/>
        <v>0</v>
      </c>
      <c r="K56" s="31">
        <f t="shared" si="6"/>
        <v>0</v>
      </c>
      <c r="L56" s="32">
        <f t="shared" si="7"/>
        <v>0</v>
      </c>
      <c r="X56" s="21"/>
    </row>
    <row r="57" spans="2:25" s="19" customFormat="1" ht="12.75" x14ac:dyDescent="0.2">
      <c r="B57" s="30" t="s">
        <v>20</v>
      </c>
      <c r="C57" s="31">
        <f t="shared" si="6"/>
        <v>141869849.03291705</v>
      </c>
      <c r="D57" s="31">
        <f t="shared" si="6"/>
        <v>137592097.46512687</v>
      </c>
      <c r="E57" s="31">
        <f t="shared" si="6"/>
        <v>26303682.807467055</v>
      </c>
      <c r="F57" s="31">
        <f t="shared" si="6"/>
        <v>1010762.3806884451</v>
      </c>
      <c r="G57" s="31">
        <f t="shared" si="6"/>
        <v>3965102.7335624727</v>
      </c>
      <c r="H57" s="31">
        <f t="shared" si="6"/>
        <v>838830.87964583002</v>
      </c>
      <c r="I57" s="31">
        <f t="shared" si="6"/>
        <v>3257225.7862216588</v>
      </c>
      <c r="J57" s="31">
        <f t="shared" si="6"/>
        <v>14236491.389598465</v>
      </c>
      <c r="K57" s="31">
        <f t="shared" si="6"/>
        <v>761495.56961447175</v>
      </c>
      <c r="L57" s="32">
        <f t="shared" si="7"/>
        <v>329835538.04484242</v>
      </c>
      <c r="X57" s="21"/>
    </row>
    <row r="58" spans="2:25" s="19" customFormat="1" ht="12.75" x14ac:dyDescent="0.2">
      <c r="B58" s="30" t="s">
        <v>22</v>
      </c>
      <c r="C58" s="31">
        <f t="shared" si="6"/>
        <v>180268428.87633803</v>
      </c>
      <c r="D58" s="31">
        <f t="shared" si="6"/>
        <v>174832858.46087995</v>
      </c>
      <c r="E58" s="31">
        <f t="shared" si="6"/>
        <v>33423053.634627055</v>
      </c>
      <c r="F58" s="31">
        <f t="shared" si="6"/>
        <v>1284335.9429510389</v>
      </c>
      <c r="G58" s="31">
        <f t="shared" si="6"/>
        <v>5038299.8571228068</v>
      </c>
      <c r="H58" s="31">
        <f t="shared" si="6"/>
        <v>1065869.3570021712</v>
      </c>
      <c r="I58" s="31">
        <f t="shared" si="6"/>
        <v>4138828.5035915938</v>
      </c>
      <c r="J58" s="31">
        <f t="shared" si="6"/>
        <v>18089748.829710592</v>
      </c>
      <c r="K58" s="31">
        <f t="shared" si="6"/>
        <v>967602.42480304802</v>
      </c>
      <c r="L58" s="32">
        <f t="shared" si="7"/>
        <v>419109025.88702643</v>
      </c>
      <c r="X58" s="21"/>
    </row>
    <row r="59" spans="2:25" s="19" customFormat="1" ht="12.75" x14ac:dyDescent="0.2">
      <c r="B59" s="30" t="s">
        <v>23</v>
      </c>
      <c r="C59" s="31">
        <f t="shared" si="6"/>
        <v>1370600.0369859328</v>
      </c>
      <c r="D59" s="31">
        <f t="shared" si="6"/>
        <v>1329272.817023434</v>
      </c>
      <c r="E59" s="31">
        <f t="shared" si="6"/>
        <v>254119.03145407411</v>
      </c>
      <c r="F59" s="31">
        <f t="shared" si="6"/>
        <v>9764.9427683125195</v>
      </c>
      <c r="G59" s="31">
        <f t="shared" si="6"/>
        <v>38306.729656227406</v>
      </c>
      <c r="H59" s="31">
        <f t="shared" si="6"/>
        <v>8103.918080583564</v>
      </c>
      <c r="I59" s="31">
        <f t="shared" si="6"/>
        <v>31467.953293099705</v>
      </c>
      <c r="J59" s="31">
        <f t="shared" si="6"/>
        <v>137538.28426649145</v>
      </c>
      <c r="K59" s="31">
        <f t="shared" si="6"/>
        <v>7356.7841440083239</v>
      </c>
      <c r="L59" s="32">
        <f t="shared" si="7"/>
        <v>3186530.4976721648</v>
      </c>
      <c r="X59" s="21"/>
    </row>
    <row r="60" spans="2:25" s="19" customFormat="1" ht="12.75" x14ac:dyDescent="0.2">
      <c r="B60" s="30" t="s">
        <v>25</v>
      </c>
      <c r="C60" s="31">
        <f t="shared" si="6"/>
        <v>318338029.01944339</v>
      </c>
      <c r="D60" s="31">
        <f t="shared" si="6"/>
        <v>308739294.6018914</v>
      </c>
      <c r="E60" s="31">
        <f t="shared" si="6"/>
        <v>59022143.168269992</v>
      </c>
      <c r="F60" s="31">
        <f t="shared" si="6"/>
        <v>2268023.165378172</v>
      </c>
      <c r="G60" s="31">
        <f t="shared" si="6"/>
        <v>8897189.9079769608</v>
      </c>
      <c r="H60" s="31">
        <f t="shared" si="6"/>
        <v>1882230.5847745135</v>
      </c>
      <c r="I60" s="31">
        <f t="shared" si="6"/>
        <v>7308803.413306836</v>
      </c>
      <c r="J60" s="31">
        <f t="shared" si="6"/>
        <v>31944889.206624307</v>
      </c>
      <c r="K60" s="31">
        <f t="shared" si="6"/>
        <v>1708699.913269548</v>
      </c>
      <c r="L60" s="32">
        <f t="shared" si="7"/>
        <v>740109302.98093534</v>
      </c>
      <c r="X60" s="21"/>
    </row>
    <row r="61" spans="2:25" s="19" customFormat="1" ht="12.75" x14ac:dyDescent="0.2">
      <c r="B61" s="30" t="s">
        <v>34</v>
      </c>
      <c r="C61" s="31">
        <f t="shared" si="6"/>
        <v>78011093.647158995</v>
      </c>
      <c r="D61" s="31">
        <f t="shared" si="6"/>
        <v>75658852.628866702</v>
      </c>
      <c r="E61" s="31">
        <f t="shared" si="6"/>
        <v>14463813.676733892</v>
      </c>
      <c r="F61" s="31">
        <f t="shared" si="6"/>
        <v>555795.88807919633</v>
      </c>
      <c r="G61" s="31">
        <f t="shared" si="6"/>
        <v>2180322.3361207522</v>
      </c>
      <c r="H61" s="31">
        <f t="shared" si="6"/>
        <v>461254.55656893278</v>
      </c>
      <c r="I61" s="31">
        <f t="shared" si="6"/>
        <v>1791076.4519099609</v>
      </c>
      <c r="J61" s="31">
        <f t="shared" si="6"/>
        <v>7828331.8870893614</v>
      </c>
      <c r="K61" s="31">
        <f t="shared" si="6"/>
        <v>418729.57924490271</v>
      </c>
      <c r="L61" s="32">
        <f t="shared" si="7"/>
        <v>181369270.65177274</v>
      </c>
      <c r="X61" s="21"/>
    </row>
    <row r="62" spans="2:25" s="19" customFormat="1" ht="12.75" x14ac:dyDescent="0.2">
      <c r="B62" s="30" t="s">
        <v>35</v>
      </c>
      <c r="C62" s="31">
        <f t="shared" si="6"/>
        <v>752397797.0085218</v>
      </c>
      <c r="D62" s="31">
        <f t="shared" si="6"/>
        <v>729711011.3546629</v>
      </c>
      <c r="E62" s="31">
        <f t="shared" si="6"/>
        <v>139499922.86914477</v>
      </c>
      <c r="F62" s="31">
        <f t="shared" si="6"/>
        <v>5360514.5400036518</v>
      </c>
      <c r="G62" s="31">
        <f t="shared" si="6"/>
        <v>21028672.279426124</v>
      </c>
      <c r="H62" s="31">
        <f t="shared" si="6"/>
        <v>4448686.6674666386</v>
      </c>
      <c r="I62" s="31">
        <f t="shared" si="6"/>
        <v>17274491.533038154</v>
      </c>
      <c r="J62" s="31">
        <f t="shared" si="6"/>
        <v>75502334.228743404</v>
      </c>
      <c r="K62" s="31">
        <f t="shared" si="6"/>
        <v>4038543.7280386537</v>
      </c>
      <c r="L62" s="32">
        <f t="shared" si="7"/>
        <v>1749261974.2090466</v>
      </c>
      <c r="X62" s="21"/>
    </row>
    <row r="63" spans="2:25" s="19" customFormat="1" ht="12.75" x14ac:dyDescent="0.2">
      <c r="B63" s="30" t="s">
        <v>39</v>
      </c>
      <c r="C63" s="31">
        <f t="shared" si="6"/>
        <v>166249755.79353398</v>
      </c>
      <c r="D63" s="31">
        <f t="shared" si="6"/>
        <v>161236885.4878391</v>
      </c>
      <c r="E63" s="31">
        <f t="shared" si="6"/>
        <v>30823891.56696251</v>
      </c>
      <c r="F63" s="31">
        <f t="shared" si="6"/>
        <v>1184458.855071849</v>
      </c>
      <c r="G63" s="31">
        <f t="shared" si="6"/>
        <v>4646493.7098656259</v>
      </c>
      <c r="H63" s="31">
        <f t="shared" si="6"/>
        <v>982981.44280704542</v>
      </c>
      <c r="I63" s="31">
        <f t="shared" si="6"/>
        <v>3816970.2386735403</v>
      </c>
      <c r="J63" s="31">
        <f t="shared" si="6"/>
        <v>16682989.606398603</v>
      </c>
      <c r="K63" s="31">
        <f t="shared" si="6"/>
        <v>892356.2923993119</v>
      </c>
      <c r="L63" s="32">
        <f t="shared" si="7"/>
        <v>386516782.99355167</v>
      </c>
      <c r="X63" s="21"/>
    </row>
    <row r="64" spans="2:25" s="19" customFormat="1" ht="12.75" x14ac:dyDescent="0.2">
      <c r="B64" s="30" t="s">
        <v>38</v>
      </c>
      <c r="C64" s="31">
        <f t="shared" si="6"/>
        <v>122775730.75637373</v>
      </c>
      <c r="D64" s="31">
        <f t="shared" si="6"/>
        <v>119073717.40885966</v>
      </c>
      <c r="E64" s="31">
        <f t="shared" si="6"/>
        <v>22763496.967712458</v>
      </c>
      <c r="F64" s="31">
        <f t="shared" si="6"/>
        <v>874724.90283176722</v>
      </c>
      <c r="G64" s="31">
        <f t="shared" si="6"/>
        <v>3431443.60098864</v>
      </c>
      <c r="H64" s="31">
        <f t="shared" si="6"/>
        <v>725933.48714731459</v>
      </c>
      <c r="I64" s="31">
        <f t="shared" si="6"/>
        <v>2818839.0899681603</v>
      </c>
      <c r="J64" s="31">
        <f t="shared" si="6"/>
        <v>12320416.534447866</v>
      </c>
      <c r="K64" s="31">
        <f t="shared" si="6"/>
        <v>659006.65761239559</v>
      </c>
      <c r="L64" s="32">
        <f t="shared" si="7"/>
        <v>285443309.40594208</v>
      </c>
      <c r="X64" s="21"/>
    </row>
    <row r="65" spans="2:25" s="19" customFormat="1" ht="12.75" x14ac:dyDescent="0.2">
      <c r="B65" s="30" t="s">
        <v>40</v>
      </c>
      <c r="C65" s="31">
        <f t="shared" si="6"/>
        <v>124611119.70070942</v>
      </c>
      <c r="D65" s="31">
        <f t="shared" si="6"/>
        <v>120853764.51708528</v>
      </c>
      <c r="E65" s="31">
        <f t="shared" si="6"/>
        <v>23103791.180677582</v>
      </c>
      <c r="F65" s="31">
        <f t="shared" si="6"/>
        <v>887801.26903298555</v>
      </c>
      <c r="G65" s="31">
        <f t="shared" si="6"/>
        <v>3482740.6579034408</v>
      </c>
      <c r="H65" s="31">
        <f t="shared" si="6"/>
        <v>736785.55284812534</v>
      </c>
      <c r="I65" s="31">
        <f t="shared" si="6"/>
        <v>2860978.2494723704</v>
      </c>
      <c r="J65" s="31">
        <f t="shared" si="6"/>
        <v>12504595.900822865</v>
      </c>
      <c r="K65" s="31">
        <f t="shared" si="6"/>
        <v>668858.22620965762</v>
      </c>
      <c r="L65" s="32">
        <f t="shared" si="7"/>
        <v>289710435.25476182</v>
      </c>
      <c r="X65" s="21"/>
    </row>
    <row r="66" spans="2:25" s="19" customFormat="1" ht="12.75" x14ac:dyDescent="0.2">
      <c r="B66" s="30" t="s">
        <v>43</v>
      </c>
      <c r="C66" s="31">
        <f t="shared" si="6"/>
        <v>92061462.630241856</v>
      </c>
      <c r="D66" s="31">
        <f t="shared" si="6"/>
        <v>89285565.786873817</v>
      </c>
      <c r="E66" s="31">
        <f t="shared" si="6"/>
        <v>17068852.390584469</v>
      </c>
      <c r="F66" s="31">
        <f t="shared" si="6"/>
        <v>655898.79577734182</v>
      </c>
      <c r="G66" s="31">
        <f t="shared" si="6"/>
        <v>2573014.3481454994</v>
      </c>
      <c r="H66" s="31">
        <f t="shared" si="6"/>
        <v>544329.87844858959</v>
      </c>
      <c r="I66" s="31">
        <f t="shared" si="6"/>
        <v>2113662.431028103</v>
      </c>
      <c r="J66" s="31">
        <f t="shared" si="6"/>
        <v>9238271.7609376088</v>
      </c>
      <c r="K66" s="31">
        <f t="shared" si="6"/>
        <v>494145.84143873729</v>
      </c>
      <c r="L66" s="32">
        <f t="shared" si="7"/>
        <v>214035203.8634761</v>
      </c>
      <c r="X66" s="21"/>
    </row>
    <row r="67" spans="2:25" s="19" customFormat="1" ht="12.75" x14ac:dyDescent="0.2">
      <c r="B67" s="30" t="s">
        <v>21</v>
      </c>
      <c r="C67" s="31">
        <f t="shared" si="6"/>
        <v>302979307.79995161</v>
      </c>
      <c r="D67" s="31">
        <f t="shared" si="6"/>
        <v>293843679.49144107</v>
      </c>
      <c r="E67" s="31">
        <f t="shared" si="6"/>
        <v>56174526.609574072</v>
      </c>
      <c r="F67" s="31">
        <f t="shared" si="6"/>
        <v>2158598.8040359551</v>
      </c>
      <c r="G67" s="31">
        <f t="shared" si="6"/>
        <v>8467930.9223182052</v>
      </c>
      <c r="H67" s="31">
        <f t="shared" si="6"/>
        <v>1791419.3960786541</v>
      </c>
      <c r="I67" s="31">
        <f t="shared" si="6"/>
        <v>6956178.6439105505</v>
      </c>
      <c r="J67" s="31">
        <f t="shared" si="6"/>
        <v>30403657.550377142</v>
      </c>
      <c r="K67" s="31">
        <f t="shared" si="6"/>
        <v>1626260.9860181832</v>
      </c>
      <c r="L67" s="32">
        <f t="shared" si="7"/>
        <v>704401560.20370567</v>
      </c>
      <c r="X67" s="21"/>
    </row>
    <row r="68" spans="2:25" s="19" customFormat="1" ht="12.75" x14ac:dyDescent="0.2">
      <c r="B68" s="30" t="s">
        <v>41</v>
      </c>
      <c r="C68" s="31">
        <f t="shared" ref="C68:K69" si="8">+$L68*C$70/$L$70</f>
        <v>873969.97307391081</v>
      </c>
      <c r="D68" s="31">
        <f t="shared" si="8"/>
        <v>847617.4644330435</v>
      </c>
      <c r="E68" s="31">
        <f t="shared" si="8"/>
        <v>162040.27220507426</v>
      </c>
      <c r="F68" s="31">
        <f t="shared" si="8"/>
        <v>6226.6646271642885</v>
      </c>
      <c r="G68" s="31">
        <f t="shared" si="8"/>
        <v>24426.477880319984</v>
      </c>
      <c r="H68" s="31">
        <f t="shared" si="8"/>
        <v>5167.5039220457047</v>
      </c>
      <c r="I68" s="31">
        <f t="shared" si="8"/>
        <v>20065.697906108911</v>
      </c>
      <c r="J68" s="31">
        <f t="shared" si="8"/>
        <v>87701.97530517877</v>
      </c>
      <c r="K68" s="31">
        <f t="shared" si="8"/>
        <v>4691.0902281812196</v>
      </c>
      <c r="L68" s="32">
        <f t="shared" si="7"/>
        <v>2031907.1195810281</v>
      </c>
      <c r="X68" s="21"/>
    </row>
    <row r="69" spans="2:25" s="19" customFormat="1" ht="12.75" x14ac:dyDescent="0.2">
      <c r="B69" s="30" t="s">
        <v>44</v>
      </c>
      <c r="C69" s="31">
        <f t="shared" si="8"/>
        <v>30252416.536132462</v>
      </c>
      <c r="D69" s="31">
        <f t="shared" si="8"/>
        <v>29340226.080238931</v>
      </c>
      <c r="E69" s="31">
        <f t="shared" si="8"/>
        <v>5609013.995222955</v>
      </c>
      <c r="F69" s="31">
        <f t="shared" si="8"/>
        <v>215535.61075930187</v>
      </c>
      <c r="G69" s="31">
        <f t="shared" si="8"/>
        <v>845521.02030120092</v>
      </c>
      <c r="H69" s="31">
        <f t="shared" si="8"/>
        <v>178872.82849316404</v>
      </c>
      <c r="I69" s="31">
        <f t="shared" si="8"/>
        <v>694572.89134173875</v>
      </c>
      <c r="J69" s="31">
        <f t="shared" si="8"/>
        <v>3035798.4481344339</v>
      </c>
      <c r="K69" s="31">
        <f t="shared" si="8"/>
        <v>162381.79796082899</v>
      </c>
      <c r="L69" s="32">
        <f t="shared" si="7"/>
        <v>70334339.208585039</v>
      </c>
      <c r="X69" s="21"/>
    </row>
    <row r="70" spans="2:25" s="19" customFormat="1" ht="12.75" x14ac:dyDescent="0.2">
      <c r="B70" s="33" t="s">
        <v>52</v>
      </c>
      <c r="C70" s="34">
        <f t="shared" ref="C70:K70" si="9">-SUMIF($A$7:$A$40,C51,$T$7:$T$40)</f>
        <v>2963259901.7601924</v>
      </c>
      <c r="D70" s="34">
        <f t="shared" si="9"/>
        <v>2873909770.0942078</v>
      </c>
      <c r="E70" s="34">
        <f t="shared" si="9"/>
        <v>549409540.2462939</v>
      </c>
      <c r="F70" s="34">
        <f t="shared" si="9"/>
        <v>21111967.435778379</v>
      </c>
      <c r="G70" s="34">
        <f t="shared" si="9"/>
        <v>82819781.770538285</v>
      </c>
      <c r="H70" s="34">
        <f t="shared" si="9"/>
        <v>17520804.6456438</v>
      </c>
      <c r="I70" s="34">
        <f t="shared" si="9"/>
        <v>68034234.399237797</v>
      </c>
      <c r="J70" s="34">
        <f t="shared" si="9"/>
        <v>297360040.6578508</v>
      </c>
      <c r="K70" s="34">
        <f t="shared" si="9"/>
        <v>15905488.743299071</v>
      </c>
      <c r="L70" s="34">
        <f>SUM(L52:L69)</f>
        <v>6889331529.7530441</v>
      </c>
      <c r="M70" s="35">
        <f>+L70-SUM(C52:K69)</f>
        <v>0</v>
      </c>
      <c r="X70" s="21"/>
    </row>
    <row r="71" spans="2:25" s="19" customFormat="1" ht="12.75" x14ac:dyDescent="0.2">
      <c r="Y71" s="21"/>
    </row>
    <row r="72" spans="2:25" s="19" customFormat="1" ht="12.75" x14ac:dyDescent="0.2">
      <c r="Y72" s="21"/>
    </row>
    <row r="73" spans="2:25" x14ac:dyDescent="0.25">
      <c r="M73" s="1"/>
    </row>
  </sheetData>
  <mergeCells count="1">
    <mergeCell ref="C50:L50"/>
  </mergeCells>
  <pageMargins left="0.7" right="0.7" top="0.75" bottom="0.75" header="0.3" footer="0.3"/>
  <pageSetup scale="3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9843C-047B-4622-B960-CDF3E410767E}">
  <sheetPr codeName="Hoja2"/>
  <dimension ref="A1:U34"/>
  <sheetViews>
    <sheetView zoomScale="85" zoomScaleNormal="85" workbookViewId="0"/>
  </sheetViews>
  <sheetFormatPr baseColWidth="10" defaultRowHeight="15" x14ac:dyDescent="0.25"/>
  <cols>
    <col min="1" max="1" width="20.7109375" bestFit="1" customWidth="1"/>
    <col min="2" max="10" width="12.42578125" bestFit="1" customWidth="1"/>
    <col min="11" max="11" width="13.5703125" bestFit="1" customWidth="1"/>
    <col min="12" max="12" width="16.42578125" customWidth="1"/>
    <col min="13" max="13" width="13.28515625" bestFit="1" customWidth="1"/>
    <col min="14" max="18" width="5.5703125" customWidth="1"/>
    <col min="24" max="24" width="88.140625" customWidth="1"/>
  </cols>
  <sheetData>
    <row r="1" spans="1:21" x14ac:dyDescent="0.25">
      <c r="A1" s="36" t="s">
        <v>53</v>
      </c>
      <c r="B1" s="37">
        <v>45231</v>
      </c>
      <c r="C1" s="37">
        <v>45261</v>
      </c>
      <c r="D1" s="37">
        <v>45292</v>
      </c>
      <c r="E1" s="37">
        <v>45323</v>
      </c>
      <c r="F1" s="37">
        <v>45352</v>
      </c>
      <c r="G1" s="37">
        <v>45383</v>
      </c>
      <c r="H1" s="37">
        <v>45413</v>
      </c>
      <c r="I1" s="37">
        <v>45444</v>
      </c>
      <c r="J1" s="37">
        <v>45474</v>
      </c>
      <c r="K1" s="37">
        <v>45505</v>
      </c>
      <c r="L1" s="37">
        <v>45536</v>
      </c>
      <c r="M1" s="37">
        <v>45566</v>
      </c>
    </row>
    <row r="2" spans="1:21" x14ac:dyDescent="0.25">
      <c r="A2" s="36" t="s">
        <v>10</v>
      </c>
      <c r="L2" s="38">
        <v>-82721155.078827292</v>
      </c>
      <c r="U2" s="39"/>
    </row>
    <row r="3" spans="1:21" x14ac:dyDescent="0.25">
      <c r="A3" s="36" t="s">
        <v>12</v>
      </c>
      <c r="B3">
        <v>293529.05234380369</v>
      </c>
      <c r="C3">
        <v>1328430.672737547</v>
      </c>
      <c r="D3">
        <v>961257.86769462633</v>
      </c>
      <c r="E3">
        <v>1039241.395026046</v>
      </c>
      <c r="F3">
        <v>1274483.1711798541</v>
      </c>
      <c r="G3">
        <v>1616784.125704335</v>
      </c>
      <c r="H3">
        <v>3396985.0393663291</v>
      </c>
      <c r="I3">
        <v>4709019.0820974642</v>
      </c>
      <c r="J3">
        <v>8767532.226830788</v>
      </c>
      <c r="K3">
        <v>177057646.28357089</v>
      </c>
      <c r="L3">
        <v>1877924307.7918479</v>
      </c>
      <c r="M3">
        <v>599346459.04876435</v>
      </c>
      <c r="T3" s="40"/>
      <c r="U3" s="40"/>
    </row>
    <row r="4" spans="1:21" x14ac:dyDescent="0.25">
      <c r="A4" s="36" t="s">
        <v>14</v>
      </c>
      <c r="B4" s="38">
        <v>-7959.7938097710594</v>
      </c>
      <c r="C4" s="38">
        <v>-7601.786999261396</v>
      </c>
      <c r="D4">
        <v>142877.57473929529</v>
      </c>
      <c r="E4">
        <v>157806.91102535219</v>
      </c>
      <c r="F4">
        <v>215973.1265828106</v>
      </c>
      <c r="G4">
        <v>161253.13690973361</v>
      </c>
      <c r="H4">
        <v>91614.747468868067</v>
      </c>
      <c r="I4">
        <v>262166.23647564743</v>
      </c>
      <c r="J4" s="38">
        <v>-83526.323336464658</v>
      </c>
      <c r="K4">
        <v>24822923.080010939</v>
      </c>
      <c r="L4">
        <v>431319711.22203761</v>
      </c>
      <c r="M4">
        <v>74256205.306939811</v>
      </c>
      <c r="S4" s="39"/>
    </row>
    <row r="5" spans="1:21" x14ac:dyDescent="0.25">
      <c r="A5" s="36" t="s">
        <v>15</v>
      </c>
      <c r="L5" s="38">
        <v>-40268971.948299259</v>
      </c>
      <c r="M5" s="38">
        <v>-83952392.06669648</v>
      </c>
    </row>
    <row r="6" spans="1:21" x14ac:dyDescent="0.25">
      <c r="A6" s="36" t="s">
        <v>16</v>
      </c>
      <c r="L6" s="38">
        <v>-808864151.26288211</v>
      </c>
    </row>
    <row r="7" spans="1:21" x14ac:dyDescent="0.25">
      <c r="A7" s="36" t="s">
        <v>17</v>
      </c>
      <c r="B7">
        <v>24681.30854353201</v>
      </c>
      <c r="C7">
        <v>74830.999684934941</v>
      </c>
      <c r="D7">
        <v>57150.110870652563</v>
      </c>
      <c r="E7">
        <v>21667.20707573487</v>
      </c>
      <c r="F7" s="38">
        <v>-10884.57273829055</v>
      </c>
      <c r="G7">
        <v>20174.71744395854</v>
      </c>
      <c r="H7">
        <v>895926.16350323847</v>
      </c>
      <c r="I7">
        <v>327688.53125745198</v>
      </c>
      <c r="J7">
        <v>920520.06885333732</v>
      </c>
      <c r="K7">
        <v>26037551.522419199</v>
      </c>
      <c r="L7">
        <v>287642708.48906708</v>
      </c>
      <c r="M7">
        <v>119310907.65567499</v>
      </c>
    </row>
    <row r="8" spans="1:21" x14ac:dyDescent="0.25">
      <c r="A8" s="36" t="s">
        <v>18</v>
      </c>
      <c r="L8" s="38">
        <v>-498179679.07544082</v>
      </c>
    </row>
    <row r="9" spans="1:21" x14ac:dyDescent="0.25">
      <c r="A9" s="36" t="s">
        <v>20</v>
      </c>
      <c r="M9" s="38">
        <v>-329835538.04484242</v>
      </c>
    </row>
    <row r="10" spans="1:21" x14ac:dyDescent="0.25">
      <c r="A10" s="36" t="s">
        <v>21</v>
      </c>
      <c r="K10" s="38">
        <v>-140940579.63902059</v>
      </c>
      <c r="L10" s="38">
        <v>-593567176.99378884</v>
      </c>
      <c r="M10">
        <v>30106196.429103728</v>
      </c>
    </row>
    <row r="11" spans="1:21" x14ac:dyDescent="0.25">
      <c r="A11" s="36" t="s">
        <v>22</v>
      </c>
      <c r="J11" s="38">
        <v>-8637.5152566187626</v>
      </c>
      <c r="K11" s="38">
        <v>-129663.5159948864</v>
      </c>
      <c r="L11" s="38">
        <v>-195789193.6731284</v>
      </c>
      <c r="M11" s="38">
        <v>-223181531.18264651</v>
      </c>
    </row>
    <row r="12" spans="1:21" x14ac:dyDescent="0.25">
      <c r="A12" s="36" t="s">
        <v>23</v>
      </c>
      <c r="L12" s="38">
        <v>-308751.51428727497</v>
      </c>
      <c r="M12" s="38">
        <v>-2877778.98338489</v>
      </c>
    </row>
    <row r="13" spans="1:21" x14ac:dyDescent="0.25">
      <c r="A13" s="36" t="s">
        <v>24</v>
      </c>
      <c r="B13" s="38">
        <v>-2192.56000093386</v>
      </c>
      <c r="C13" s="38">
        <v>-2554.912667522382</v>
      </c>
      <c r="D13">
        <v>0</v>
      </c>
      <c r="E13">
        <v>0</v>
      </c>
      <c r="F13">
        <v>0</v>
      </c>
      <c r="G13">
        <v>8728.781579141214</v>
      </c>
      <c r="H13">
        <v>18250.972924370839</v>
      </c>
      <c r="I13">
        <v>18858.711812564161</v>
      </c>
      <c r="J13">
        <v>26834.800709633211</v>
      </c>
      <c r="K13">
        <v>30154.61974504072</v>
      </c>
      <c r="L13">
        <v>13426768.56453938</v>
      </c>
      <c r="M13">
        <v>7470018.4872440211</v>
      </c>
    </row>
    <row r="14" spans="1:21" x14ac:dyDescent="0.25">
      <c r="A14" s="36" t="s">
        <v>25</v>
      </c>
      <c r="B14">
        <v>3683.2038412839011</v>
      </c>
      <c r="C14">
        <v>4569.0902005522057</v>
      </c>
      <c r="D14" s="38">
        <v>-569.75064260083855</v>
      </c>
      <c r="E14" s="38">
        <v>-2907.2288020459659</v>
      </c>
      <c r="F14">
        <v>2439.0402998462691</v>
      </c>
      <c r="G14">
        <v>14338.9571469359</v>
      </c>
      <c r="H14">
        <v>49915.005847687687</v>
      </c>
      <c r="I14">
        <v>119404.3728025</v>
      </c>
      <c r="J14" s="38">
        <v>-2096210.9434328531</v>
      </c>
      <c r="K14" s="38">
        <v>-67307521.662367031</v>
      </c>
      <c r="L14" s="38">
        <v>-515482475.2695291</v>
      </c>
      <c r="M14" s="38">
        <v>-155413967.79630059</v>
      </c>
    </row>
    <row r="15" spans="1:21" x14ac:dyDescent="0.25">
      <c r="A15" s="36" t="s">
        <v>26</v>
      </c>
      <c r="B15" s="38">
        <v>-1560.7501201210509</v>
      </c>
      <c r="C15" s="38">
        <v>-1271.5730387943579</v>
      </c>
      <c r="D15">
        <v>0</v>
      </c>
      <c r="E15">
        <v>0</v>
      </c>
      <c r="F15">
        <v>0</v>
      </c>
      <c r="G15">
        <v>0</v>
      </c>
      <c r="H15">
        <v>1112.739483396314</v>
      </c>
      <c r="I15">
        <v>11031.8993902074</v>
      </c>
      <c r="J15">
        <v>2234.08225455814</v>
      </c>
      <c r="K15">
        <v>1632448.972313286</v>
      </c>
      <c r="L15">
        <v>33149027.126719661</v>
      </c>
      <c r="M15">
        <v>48020219.312811449</v>
      </c>
    </row>
    <row r="16" spans="1:21" x14ac:dyDescent="0.25">
      <c r="A16" s="36" t="s">
        <v>27</v>
      </c>
      <c r="F16">
        <v>0</v>
      </c>
      <c r="G16">
        <v>0</v>
      </c>
      <c r="H16">
        <v>0</v>
      </c>
      <c r="I16">
        <v>0</v>
      </c>
      <c r="J16">
        <v>48896.250397210941</v>
      </c>
      <c r="K16">
        <v>165420.51676300351</v>
      </c>
      <c r="L16">
        <v>12026184.23339037</v>
      </c>
      <c r="M16">
        <v>5006167.7114518909</v>
      </c>
    </row>
    <row r="17" spans="1:13" x14ac:dyDescent="0.25">
      <c r="A17" s="36" t="s">
        <v>28</v>
      </c>
      <c r="I17">
        <v>0</v>
      </c>
      <c r="J17" s="38">
        <v>-4150.8387434907909</v>
      </c>
      <c r="K17" s="38">
        <v>-7547.3220878421489</v>
      </c>
      <c r="L17">
        <v>16008904.53010563</v>
      </c>
      <c r="M17">
        <v>51394843.236553572</v>
      </c>
    </row>
    <row r="18" spans="1:13" x14ac:dyDescent="0.25">
      <c r="A18" s="36" t="s">
        <v>29</v>
      </c>
      <c r="C18">
        <v>0</v>
      </c>
      <c r="D18" s="38">
        <v>-436.09032882043181</v>
      </c>
      <c r="E18" s="38">
        <v>-429.46969623574569</v>
      </c>
      <c r="F18" s="38">
        <v>-576.59862388188913</v>
      </c>
      <c r="G18" s="38">
        <v>-732.76983446649047</v>
      </c>
      <c r="H18" s="38">
        <v>-953.12396212494559</v>
      </c>
      <c r="I18" s="38">
        <v>-4913.7111057563561</v>
      </c>
      <c r="J18" s="38">
        <v>-6866.9847066334614</v>
      </c>
      <c r="K18">
        <v>488371.72069567349</v>
      </c>
      <c r="L18">
        <v>3496759.92850762</v>
      </c>
      <c r="M18">
        <v>1345742.472778498</v>
      </c>
    </row>
    <row r="19" spans="1:13" x14ac:dyDescent="0.25">
      <c r="A19" s="36" t="s">
        <v>30</v>
      </c>
      <c r="B19">
        <v>0</v>
      </c>
      <c r="C19" s="38">
        <v>-5.0931703299283981E-11</v>
      </c>
      <c r="D19">
        <v>54840.70986986826</v>
      </c>
      <c r="E19">
        <v>50633.62760273469</v>
      </c>
      <c r="F19">
        <v>71707.039439589818</v>
      </c>
      <c r="G19">
        <v>133589.76512171599</v>
      </c>
      <c r="H19">
        <v>178256.91291303511</v>
      </c>
      <c r="I19">
        <v>183606.45962140831</v>
      </c>
      <c r="J19">
        <v>233550.31896996521</v>
      </c>
      <c r="K19">
        <v>10082110.220729951</v>
      </c>
      <c r="L19">
        <v>175880008.32213569</v>
      </c>
      <c r="M19">
        <v>88475802.912700087</v>
      </c>
    </row>
    <row r="20" spans="1:13" x14ac:dyDescent="0.25">
      <c r="A20" s="36" t="s">
        <v>31</v>
      </c>
      <c r="B20">
        <v>17050.18538336546</v>
      </c>
      <c r="C20">
        <v>18028.790184637161</v>
      </c>
      <c r="D20">
        <v>23375.166665762121</v>
      </c>
      <c r="E20">
        <v>35634.273474004578</v>
      </c>
      <c r="F20">
        <v>17099.430983981601</v>
      </c>
      <c r="G20">
        <v>26052.330674539058</v>
      </c>
      <c r="H20">
        <v>28260.495295579309</v>
      </c>
      <c r="I20">
        <v>23797.763997117068</v>
      </c>
      <c r="J20">
        <v>86372.487769576328</v>
      </c>
      <c r="K20">
        <v>5236369.4084980497</v>
      </c>
      <c r="L20">
        <v>80604021.40516533</v>
      </c>
      <c r="M20">
        <v>57554076.50724303</v>
      </c>
    </row>
    <row r="21" spans="1:13" x14ac:dyDescent="0.25">
      <c r="A21" s="36" t="s">
        <v>32</v>
      </c>
      <c r="B21" s="38">
        <v>-53579.409729945939</v>
      </c>
      <c r="C21" s="38">
        <v>-61273.128140933353</v>
      </c>
      <c r="D21" s="38">
        <v>-39440.940433357027</v>
      </c>
      <c r="E21" s="38">
        <v>-38876.55002479149</v>
      </c>
      <c r="F21" s="38">
        <v>-53400.660500780723</v>
      </c>
      <c r="G21" s="38">
        <v>-39995.46822540641</v>
      </c>
      <c r="H21" s="38">
        <v>-24234.610325573649</v>
      </c>
      <c r="I21" s="38">
        <v>-470.35980506084798</v>
      </c>
      <c r="J21">
        <v>5164.168361486134</v>
      </c>
      <c r="K21">
        <v>2149645.4600354531</v>
      </c>
      <c r="L21">
        <v>56942352.139479227</v>
      </c>
      <c r="M21">
        <v>32427535.605336219</v>
      </c>
    </row>
    <row r="22" spans="1:13" x14ac:dyDescent="0.25">
      <c r="A22" s="36" t="s">
        <v>33</v>
      </c>
      <c r="B22">
        <v>97581.542703516243</v>
      </c>
      <c r="C22">
        <v>54063.835647618238</v>
      </c>
      <c r="D22">
        <v>22189.014828497009</v>
      </c>
      <c r="E22">
        <v>21449.438410825511</v>
      </c>
      <c r="F22">
        <v>32618.68588136691</v>
      </c>
      <c r="G22">
        <v>55860.646201225878</v>
      </c>
      <c r="H22">
        <v>15945.99158724964</v>
      </c>
      <c r="I22">
        <v>174986.95749006941</v>
      </c>
      <c r="J22">
        <v>331640.13061478653</v>
      </c>
      <c r="K22">
        <v>8149761.8264199216</v>
      </c>
      <c r="L22">
        <v>122147964.7519128</v>
      </c>
      <c r="M22">
        <v>25792362.012254119</v>
      </c>
    </row>
    <row r="23" spans="1:13" x14ac:dyDescent="0.25">
      <c r="A23" s="36" t="s">
        <v>34</v>
      </c>
      <c r="L23" s="38">
        <v>-93681550.111277565</v>
      </c>
      <c r="M23" s="38">
        <v>-87687720.540495187</v>
      </c>
    </row>
    <row r="24" spans="1:13" x14ac:dyDescent="0.25">
      <c r="A24" s="36" t="s">
        <v>13</v>
      </c>
      <c r="B24">
        <v>1804596.6938951979</v>
      </c>
      <c r="C24">
        <v>2190611.460908181</v>
      </c>
      <c r="D24">
        <v>2540263.2732927031</v>
      </c>
      <c r="E24">
        <v>3258587.9027220262</v>
      </c>
      <c r="F24">
        <v>3551640.585070699</v>
      </c>
      <c r="G24">
        <v>6730724.6208111206</v>
      </c>
      <c r="H24">
        <v>9502322.6556275841</v>
      </c>
      <c r="I24">
        <v>11548054.215305369</v>
      </c>
      <c r="J24">
        <v>16922202.114917189</v>
      </c>
      <c r="K24">
        <v>186699161.92007819</v>
      </c>
      <c r="L24">
        <v>1903555900.400244</v>
      </c>
      <c r="M24">
        <v>695863647.24946022</v>
      </c>
    </row>
    <row r="25" spans="1:13" x14ac:dyDescent="0.25">
      <c r="A25" s="36" t="s">
        <v>35</v>
      </c>
      <c r="B25">
        <v>91594.376110193829</v>
      </c>
      <c r="C25">
        <v>109413.45943959701</v>
      </c>
      <c r="D25">
        <v>213578.9337776243</v>
      </c>
      <c r="E25">
        <v>763738.63998115051</v>
      </c>
      <c r="F25">
        <v>865019.39677693497</v>
      </c>
      <c r="G25">
        <v>940547.11221968068</v>
      </c>
      <c r="H25">
        <v>941980.58943791711</v>
      </c>
      <c r="I25">
        <v>1708217.5431100661</v>
      </c>
      <c r="J25">
        <v>1777426.98186261</v>
      </c>
      <c r="K25" s="38">
        <v>-111529330.9634213</v>
      </c>
      <c r="L25" s="38">
        <v>-1084587942.096504</v>
      </c>
      <c r="M25" s="38">
        <v>-560556218.18183744</v>
      </c>
    </row>
    <row r="26" spans="1:13" x14ac:dyDescent="0.25">
      <c r="A26" s="36" t="s">
        <v>36</v>
      </c>
      <c r="B26">
        <v>252.277747649845</v>
      </c>
      <c r="C26">
        <v>112.6670238897786</v>
      </c>
      <c r="D26">
        <v>12.434966792796329</v>
      </c>
      <c r="E26">
        <v>0</v>
      </c>
      <c r="F26">
        <v>0</v>
      </c>
      <c r="G26">
        <v>196.047629911076</v>
      </c>
      <c r="H26">
        <v>564.7582908491022</v>
      </c>
      <c r="I26">
        <v>540.19615447788965</v>
      </c>
      <c r="J26" s="38">
        <v>-2504.8451405553392</v>
      </c>
      <c r="K26">
        <v>13843.75618946921</v>
      </c>
      <c r="L26">
        <v>8223409.551476012</v>
      </c>
      <c r="M26">
        <v>7347027.6087065553</v>
      </c>
    </row>
    <row r="27" spans="1:13" x14ac:dyDescent="0.25">
      <c r="A27" s="36" t="s">
        <v>13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146454.7871080444</v>
      </c>
      <c r="L27">
        <v>1678584.3341737641</v>
      </c>
      <c r="M27">
        <v>923629.91719476902</v>
      </c>
    </row>
    <row r="28" spans="1:13" x14ac:dyDescent="0.25">
      <c r="A28" s="36" t="s">
        <v>38</v>
      </c>
      <c r="B28">
        <v>19641.16609880449</v>
      </c>
      <c r="C28">
        <v>36751.664740545733</v>
      </c>
      <c r="D28">
        <v>44563.208334265582</v>
      </c>
      <c r="E28">
        <v>44780.935998209658</v>
      </c>
      <c r="F28">
        <v>46759.202210287927</v>
      </c>
      <c r="G28" s="38">
        <v>-25384.789183684021</v>
      </c>
      <c r="H28">
        <v>15033.718297747469</v>
      </c>
      <c r="I28">
        <v>598229.11821075412</v>
      </c>
      <c r="J28">
        <v>488319.63216526061</v>
      </c>
      <c r="K28" s="38">
        <v>-76880830.454292849</v>
      </c>
      <c r="L28" s="38">
        <v>-121259863.8734473</v>
      </c>
      <c r="M28" s="38">
        <v>-88571308.935074136</v>
      </c>
    </row>
    <row r="29" spans="1:13" x14ac:dyDescent="0.25">
      <c r="A29" s="36" t="s">
        <v>39</v>
      </c>
      <c r="B29" s="38">
        <v>-191715.89291229489</v>
      </c>
      <c r="C29" s="38">
        <v>-253567.42200339161</v>
      </c>
      <c r="D29" s="38">
        <v>-158315.90371881539</v>
      </c>
      <c r="E29">
        <v>10234.281469947709</v>
      </c>
      <c r="F29" s="38">
        <v>-43250.015103619393</v>
      </c>
      <c r="G29">
        <v>695307.67686782684</v>
      </c>
      <c r="H29">
        <v>585952.76192173443</v>
      </c>
      <c r="I29">
        <v>724716.48399719968</v>
      </c>
      <c r="J29">
        <v>1109886.5367888331</v>
      </c>
      <c r="K29" s="38">
        <v>-10492473.897144999</v>
      </c>
      <c r="L29" s="38">
        <v>-247230697.8952266</v>
      </c>
      <c r="M29" s="38">
        <v>-131272859.7084875</v>
      </c>
    </row>
    <row r="30" spans="1:13" x14ac:dyDescent="0.25">
      <c r="A30" s="36" t="s">
        <v>40</v>
      </c>
      <c r="B30" s="38">
        <v>-61484.559002990092</v>
      </c>
      <c r="C30" s="38">
        <v>-50827.058808377318</v>
      </c>
      <c r="D30" s="38">
        <v>-47798.483084476473</v>
      </c>
      <c r="E30" s="38">
        <v>-49816.011476280582</v>
      </c>
      <c r="F30" s="38">
        <v>-42559.886426632344</v>
      </c>
      <c r="G30">
        <v>8639.155731716899</v>
      </c>
      <c r="H30">
        <v>36160.842038567767</v>
      </c>
      <c r="I30" s="38">
        <v>-10609.0095928479</v>
      </c>
      <c r="J30" s="38">
        <v>-229317.62091773219</v>
      </c>
      <c r="K30" s="38">
        <v>-22622316.979748771</v>
      </c>
      <c r="L30" s="38">
        <v>-228919036.78192449</v>
      </c>
      <c r="M30" s="38">
        <v>-37721468.861549482</v>
      </c>
    </row>
    <row r="31" spans="1:13" x14ac:dyDescent="0.25">
      <c r="A31" s="36" t="s">
        <v>41</v>
      </c>
      <c r="M31" s="38">
        <v>-2031907.1195810279</v>
      </c>
    </row>
    <row r="32" spans="1:13" x14ac:dyDescent="0.25">
      <c r="A32" s="36" t="s">
        <v>42</v>
      </c>
      <c r="B32" s="38">
        <v>-80.324701361294501</v>
      </c>
      <c r="C32" s="38">
        <v>-5456.7979975471644</v>
      </c>
      <c r="D32" s="38">
        <v>-2662.1373430816911</v>
      </c>
      <c r="E32">
        <v>1079.504246288614</v>
      </c>
      <c r="F32">
        <v>11775.71681806802</v>
      </c>
      <c r="G32">
        <v>15093.557472546379</v>
      </c>
      <c r="H32" s="38">
        <v>-55511.026000833583</v>
      </c>
      <c r="I32" s="38">
        <v>-321801.49153737701</v>
      </c>
      <c r="J32" s="38">
        <v>-92198.716627933158</v>
      </c>
      <c r="K32" s="38">
        <v>-3084730.7068734998</v>
      </c>
      <c r="L32">
        <v>329573486.21558517</v>
      </c>
      <c r="M32" s="38">
        <v>-28051355.543745879</v>
      </c>
    </row>
    <row r="33" spans="1:13" x14ac:dyDescent="0.25">
      <c r="A33" s="36" t="s">
        <v>43</v>
      </c>
      <c r="M33" s="38">
        <v>-214035203.8634761</v>
      </c>
    </row>
    <row r="34" spans="1:13" x14ac:dyDescent="0.25">
      <c r="A34" s="36" t="s">
        <v>44</v>
      </c>
      <c r="K34">
        <v>0</v>
      </c>
      <c r="L34" s="38">
        <v>-65855856.216941923</v>
      </c>
      <c r="M34" s="38">
        <v>-4478482.9916431205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8A7EF-C1C2-4179-8B6A-E0FB9F4B65A3}">
  <sheetPr codeName="Hoja3"/>
  <dimension ref="C2:G29"/>
  <sheetViews>
    <sheetView zoomScale="70" zoomScaleNormal="70" workbookViewId="0"/>
  </sheetViews>
  <sheetFormatPr baseColWidth="10" defaultRowHeight="15" x14ac:dyDescent="0.25"/>
  <cols>
    <col min="3" max="3" width="19.42578125" customWidth="1"/>
    <col min="4" max="4" width="14.85546875" customWidth="1"/>
    <col min="7" max="7" width="26.5703125" customWidth="1"/>
  </cols>
  <sheetData>
    <row r="2" spans="3:7" ht="26.25" x14ac:dyDescent="0.4">
      <c r="C2" s="41" t="s">
        <v>54</v>
      </c>
      <c r="D2" s="41" t="s">
        <v>55</v>
      </c>
      <c r="F2" s="42" t="s">
        <v>56</v>
      </c>
      <c r="G2" s="43">
        <v>45624</v>
      </c>
    </row>
    <row r="3" spans="3:7" x14ac:dyDescent="0.25">
      <c r="C3" t="s">
        <v>10</v>
      </c>
      <c r="D3" t="s">
        <v>57</v>
      </c>
    </row>
    <row r="4" spans="3:7" x14ac:dyDescent="0.25">
      <c r="C4" t="s">
        <v>11</v>
      </c>
      <c r="D4" t="s">
        <v>58</v>
      </c>
    </row>
    <row r="5" spans="3:7" x14ac:dyDescent="0.25">
      <c r="C5" t="s">
        <v>13</v>
      </c>
      <c r="D5" t="s">
        <v>59</v>
      </c>
    </row>
    <row r="6" spans="3:7" x14ac:dyDescent="0.25">
      <c r="C6" t="s">
        <v>14</v>
      </c>
      <c r="D6" t="s">
        <v>60</v>
      </c>
    </row>
    <row r="7" spans="3:7" x14ac:dyDescent="0.25">
      <c r="C7" t="s">
        <v>15</v>
      </c>
      <c r="D7" t="s">
        <v>61</v>
      </c>
    </row>
    <row r="8" spans="3:7" x14ac:dyDescent="0.25">
      <c r="C8" t="s">
        <v>16</v>
      </c>
      <c r="D8" t="s">
        <v>62</v>
      </c>
    </row>
    <row r="9" spans="3:7" x14ac:dyDescent="0.25">
      <c r="C9" t="s">
        <v>18</v>
      </c>
      <c r="D9" t="s">
        <v>63</v>
      </c>
    </row>
    <row r="10" spans="3:7" x14ac:dyDescent="0.25">
      <c r="C10" t="s">
        <v>19</v>
      </c>
      <c r="D10" t="s">
        <v>64</v>
      </c>
    </row>
    <row r="11" spans="3:7" x14ac:dyDescent="0.25">
      <c r="C11" t="s">
        <v>20</v>
      </c>
      <c r="D11" t="s">
        <v>65</v>
      </c>
    </row>
    <row r="12" spans="3:7" x14ac:dyDescent="0.25">
      <c r="C12" t="s">
        <v>21</v>
      </c>
      <c r="D12" t="s">
        <v>66</v>
      </c>
    </row>
    <row r="13" spans="3:7" x14ac:dyDescent="0.25">
      <c r="C13" t="s">
        <v>22</v>
      </c>
      <c r="D13" t="s">
        <v>67</v>
      </c>
    </row>
    <row r="14" spans="3:7" x14ac:dyDescent="0.25">
      <c r="C14" t="s">
        <v>23</v>
      </c>
      <c r="D14" s="44" t="s">
        <v>68</v>
      </c>
    </row>
    <row r="15" spans="3:7" x14ac:dyDescent="0.25">
      <c r="C15" t="s">
        <v>24</v>
      </c>
      <c r="D15" t="s">
        <v>69</v>
      </c>
    </row>
    <row r="16" spans="3:7" x14ac:dyDescent="0.25">
      <c r="C16" t="s">
        <v>25</v>
      </c>
      <c r="D16" t="s">
        <v>70</v>
      </c>
    </row>
    <row r="17" spans="3:4" x14ac:dyDescent="0.25">
      <c r="C17" t="s">
        <v>26</v>
      </c>
      <c r="D17" t="s">
        <v>71</v>
      </c>
    </row>
    <row r="18" spans="3:4" x14ac:dyDescent="0.25">
      <c r="C18" t="s">
        <v>27</v>
      </c>
      <c r="D18" t="s">
        <v>72</v>
      </c>
    </row>
    <row r="19" spans="3:4" x14ac:dyDescent="0.25">
      <c r="C19" t="s">
        <v>28</v>
      </c>
      <c r="D19" t="s">
        <v>73</v>
      </c>
    </row>
    <row r="20" spans="3:4" x14ac:dyDescent="0.25">
      <c r="C20" t="s">
        <v>34</v>
      </c>
      <c r="D20" t="s">
        <v>74</v>
      </c>
    </row>
    <row r="21" spans="3:4" x14ac:dyDescent="0.25">
      <c r="C21" t="s">
        <v>35</v>
      </c>
      <c r="D21" t="s">
        <v>75</v>
      </c>
    </row>
    <row r="22" spans="3:4" x14ac:dyDescent="0.25">
      <c r="C22" t="s">
        <v>36</v>
      </c>
      <c r="D22" t="s">
        <v>76</v>
      </c>
    </row>
    <row r="23" spans="3:4" x14ac:dyDescent="0.25">
      <c r="C23" t="s">
        <v>38</v>
      </c>
      <c r="D23" t="s">
        <v>77</v>
      </c>
    </row>
    <row r="24" spans="3:4" x14ac:dyDescent="0.25">
      <c r="C24" t="s">
        <v>39</v>
      </c>
      <c r="D24" t="s">
        <v>78</v>
      </c>
    </row>
    <row r="25" spans="3:4" x14ac:dyDescent="0.25">
      <c r="C25" t="s">
        <v>40</v>
      </c>
      <c r="D25" t="s">
        <v>79</v>
      </c>
    </row>
    <row r="26" spans="3:4" x14ac:dyDescent="0.25">
      <c r="C26" t="s">
        <v>42</v>
      </c>
      <c r="D26" t="s">
        <v>80</v>
      </c>
    </row>
    <row r="27" spans="3:4" x14ac:dyDescent="0.25">
      <c r="C27" t="s">
        <v>43</v>
      </c>
      <c r="D27" t="s">
        <v>81</v>
      </c>
    </row>
    <row r="28" spans="3:4" x14ac:dyDescent="0.25">
      <c r="C28" t="s">
        <v>44</v>
      </c>
      <c r="D28" t="s">
        <v>82</v>
      </c>
    </row>
    <row r="29" spans="3:4" x14ac:dyDescent="0.25">
      <c r="C29" t="s">
        <v>41</v>
      </c>
      <c r="D29" s="44" t="s">
        <v>83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73D9-9B8C-4EC7-844A-B59AFB620B04}">
  <sheetPr codeName="Hoja8"/>
  <dimension ref="A1:J2128"/>
  <sheetViews>
    <sheetView zoomScale="70" zoomScaleNormal="70" workbookViewId="0"/>
  </sheetViews>
  <sheetFormatPr baseColWidth="10" defaultColWidth="11.42578125" defaultRowHeight="12.75" x14ac:dyDescent="0.2"/>
  <cols>
    <col min="1" max="1" width="20.5703125" style="45" customWidth="1"/>
    <col min="2" max="2" width="25.5703125" style="45" bestFit="1" customWidth="1"/>
    <col min="3" max="3" width="13.5703125" style="45" bestFit="1" customWidth="1"/>
    <col min="4" max="4" width="15.7109375" style="45" customWidth="1"/>
    <col min="5" max="5" width="26.42578125" style="45" bestFit="1" customWidth="1"/>
    <col min="6" max="6" width="20.7109375" style="45" bestFit="1" customWidth="1"/>
    <col min="7" max="7" width="12.42578125" style="45" bestFit="1" customWidth="1"/>
    <col min="8" max="8" width="9.85546875" style="45" bestFit="1" customWidth="1"/>
    <col min="9" max="9" width="16.28515625" style="45" bestFit="1" customWidth="1"/>
    <col min="10" max="10" width="13.42578125" style="45" customWidth="1"/>
    <col min="11" max="11" width="10.42578125" style="45" bestFit="1" customWidth="1"/>
    <col min="12" max="12" width="6.5703125" style="45" bestFit="1" customWidth="1"/>
    <col min="13" max="13" width="16.28515625" style="45" bestFit="1" customWidth="1"/>
    <col min="14" max="14" width="9.7109375" style="45" bestFit="1" customWidth="1"/>
    <col min="15" max="15" width="8.7109375" style="45" bestFit="1" customWidth="1"/>
    <col min="16" max="16" width="14.28515625" style="45" bestFit="1" customWidth="1"/>
    <col min="17" max="17" width="9.42578125" style="45" bestFit="1" customWidth="1"/>
    <col min="18" max="18" width="15.42578125" style="45" bestFit="1" customWidth="1"/>
    <col min="19" max="19" width="12.140625" style="45" bestFit="1" customWidth="1"/>
    <col min="20" max="20" width="17.28515625" style="45" bestFit="1" customWidth="1"/>
    <col min="21" max="21" width="15.7109375" style="45" bestFit="1" customWidth="1"/>
    <col min="22" max="22" width="17.28515625" style="45" bestFit="1" customWidth="1"/>
    <col min="23" max="23" width="8.42578125" style="45" bestFit="1" customWidth="1"/>
    <col min="24" max="24" width="6" style="45" bestFit="1" customWidth="1"/>
    <col min="25" max="25" width="10.42578125" style="45" bestFit="1" customWidth="1"/>
    <col min="26" max="26" width="17.7109375" style="45" bestFit="1" customWidth="1"/>
    <col min="27" max="27" width="13.85546875" style="45" bestFit="1" customWidth="1"/>
    <col min="28" max="28" width="6.42578125" style="45" bestFit="1" customWidth="1"/>
    <col min="29" max="29" width="5.140625" style="45" bestFit="1" customWidth="1"/>
    <col min="30" max="30" width="8" style="45" bestFit="1" customWidth="1"/>
    <col min="31" max="31" width="8.140625" style="45" bestFit="1" customWidth="1"/>
    <col min="32" max="32" width="12.85546875" style="45" bestFit="1" customWidth="1"/>
    <col min="33" max="33" width="23.28515625" style="45" bestFit="1" customWidth="1"/>
    <col min="34" max="34" width="12.28515625" style="45" bestFit="1" customWidth="1"/>
    <col min="35" max="35" width="9.7109375" style="45" bestFit="1" customWidth="1"/>
    <col min="36" max="36" width="7.7109375" style="45" bestFit="1" customWidth="1"/>
    <col min="37" max="37" width="13.42578125" style="45" bestFit="1" customWidth="1"/>
    <col min="38" max="38" width="12.85546875" style="45" bestFit="1" customWidth="1"/>
    <col min="39" max="39" width="15.28515625" style="45" bestFit="1" customWidth="1"/>
    <col min="40" max="40" width="13.28515625" style="45" bestFit="1" customWidth="1"/>
    <col min="41" max="41" width="25.5703125" style="45" bestFit="1" customWidth="1"/>
    <col min="42" max="42" width="16.7109375" style="45" bestFit="1" customWidth="1"/>
    <col min="43" max="43" width="8.42578125" style="45" bestFit="1" customWidth="1"/>
    <col min="44" max="44" width="13.42578125" style="45" bestFit="1" customWidth="1"/>
    <col min="45" max="45" width="10.28515625" style="45" bestFit="1" customWidth="1"/>
    <col min="46" max="46" width="13.42578125" style="45" bestFit="1" customWidth="1"/>
    <col min="47" max="47" width="20.42578125" style="45" bestFit="1" customWidth="1"/>
    <col min="48" max="48" width="11.28515625" style="45" bestFit="1" customWidth="1"/>
    <col min="49" max="49" width="23.7109375" style="45" bestFit="1" customWidth="1"/>
    <col min="50" max="50" width="8.85546875" style="45" bestFit="1" customWidth="1"/>
    <col min="51" max="51" width="4.7109375" style="45" bestFit="1" customWidth="1"/>
    <col min="52" max="52" width="6.28515625" style="45" bestFit="1" customWidth="1"/>
    <col min="53" max="53" width="3.7109375" style="45" bestFit="1" customWidth="1"/>
    <col min="54" max="54" width="7.85546875" style="45" bestFit="1" customWidth="1"/>
    <col min="55" max="55" width="19" style="45" bestFit="1" customWidth="1"/>
    <col min="56" max="56" width="10.140625" style="45" bestFit="1" customWidth="1"/>
    <col min="57" max="57" width="4.28515625" style="45" bestFit="1" customWidth="1"/>
    <col min="58" max="58" width="10.28515625" style="45" bestFit="1" customWidth="1"/>
    <col min="59" max="59" width="21.7109375" style="45" bestFit="1" customWidth="1"/>
    <col min="60" max="60" width="7.140625" style="45" bestFit="1" customWidth="1"/>
    <col min="61" max="61" width="11.85546875" style="45" bestFit="1" customWidth="1"/>
    <col min="62" max="16384" width="11.42578125" style="45"/>
  </cols>
  <sheetData>
    <row r="1" spans="1:10" x14ac:dyDescent="0.2">
      <c r="A1" s="45" t="s">
        <v>84</v>
      </c>
      <c r="B1" s="45" t="s">
        <v>85</v>
      </c>
      <c r="C1" s="45" t="s">
        <v>86</v>
      </c>
      <c r="I1" s="46">
        <f>+SUM(G:G)</f>
        <v>6889331532</v>
      </c>
    </row>
    <row r="2" spans="1:10" x14ac:dyDescent="0.2">
      <c r="A2" s="45" t="s">
        <v>87</v>
      </c>
      <c r="B2" s="45" t="s">
        <v>88</v>
      </c>
      <c r="C2" s="45" t="s">
        <v>89</v>
      </c>
      <c r="I2" s="46">
        <f>+SUM(CPETR)</f>
        <v>6889331529.7530441</v>
      </c>
    </row>
    <row r="3" spans="1:10" x14ac:dyDescent="0.2">
      <c r="A3" s="45" t="s">
        <v>90</v>
      </c>
      <c r="B3" s="45" t="s">
        <v>91</v>
      </c>
      <c r="C3" s="45" t="s">
        <v>92</v>
      </c>
      <c r="I3" s="47">
        <f>+I2-I1</f>
        <v>-2.2469558715820313</v>
      </c>
      <c r="J3" s="45">
        <f>+SUMIF(CPETR,"&lt;9.5")</f>
        <v>0</v>
      </c>
    </row>
    <row r="4" spans="1:10" x14ac:dyDescent="0.2">
      <c r="A4" s="45" t="s">
        <v>93</v>
      </c>
      <c r="B4" s="48" t="str">
        <f>+MONTH(EMPRESAS!$G$2)&amp;"/"&amp;DAY(EMPRESAS!$G$2)&amp;"/"&amp;YEAR(EMPRESAS!$G$2)&amp;" 0:00"</f>
        <v>11/28/2024 0:00</v>
      </c>
    </row>
    <row r="5" spans="1:10" x14ac:dyDescent="0.2">
      <c r="A5" s="45" t="s">
        <v>94</v>
      </c>
      <c r="B5" s="49" t="str">
        <f>+MONTH(EMPRESAS!$G$2)&amp;"/"&amp;DAY(EMPRESAS!$G$2)&amp;"/"&amp;YEAR(EMPRESAS!$G$2)</f>
        <v>11/28/2024</v>
      </c>
    </row>
    <row r="6" spans="1:10" ht="15" x14ac:dyDescent="0.25">
      <c r="A6" t="s">
        <v>95</v>
      </c>
      <c r="B6" t="s">
        <v>96</v>
      </c>
      <c r="C6" t="s">
        <v>97</v>
      </c>
      <c r="D6" t="s">
        <v>98</v>
      </c>
      <c r="E6" t="s">
        <v>99</v>
      </c>
      <c r="F6" t="s">
        <v>100</v>
      </c>
      <c r="G6" t="s">
        <v>101</v>
      </c>
    </row>
    <row r="7" spans="1:10" ht="15" x14ac:dyDescent="0.25">
      <c r="A7" t="s">
        <v>102</v>
      </c>
      <c r="B7" t="s">
        <v>11</v>
      </c>
      <c r="C7" t="s">
        <v>58</v>
      </c>
      <c r="D7" t="s">
        <v>103</v>
      </c>
      <c r="E7" t="s">
        <v>10</v>
      </c>
      <c r="F7" t="s">
        <v>57</v>
      </c>
      <c r="G7">
        <v>35580271</v>
      </c>
    </row>
    <row r="8" spans="1:10" ht="15" x14ac:dyDescent="0.25">
      <c r="A8" t="s">
        <v>102</v>
      </c>
      <c r="B8" t="s">
        <v>11</v>
      </c>
      <c r="C8" t="s">
        <v>58</v>
      </c>
      <c r="D8" t="s">
        <v>103</v>
      </c>
      <c r="E8" t="s">
        <v>15</v>
      </c>
      <c r="F8" t="s">
        <v>61</v>
      </c>
      <c r="G8">
        <v>53430465</v>
      </c>
    </row>
    <row r="9" spans="1:10" ht="15" x14ac:dyDescent="0.25">
      <c r="A9" t="s">
        <v>102</v>
      </c>
      <c r="B9" t="s">
        <v>11</v>
      </c>
      <c r="C9" t="s">
        <v>58</v>
      </c>
      <c r="D9" t="s">
        <v>103</v>
      </c>
      <c r="E9" t="s">
        <v>16</v>
      </c>
      <c r="F9" t="s">
        <v>62</v>
      </c>
      <c r="G9">
        <v>347911070</v>
      </c>
    </row>
    <row r="10" spans="1:10" ht="15" x14ac:dyDescent="0.25">
      <c r="A10" t="s">
        <v>102</v>
      </c>
      <c r="B10" t="s">
        <v>11</v>
      </c>
      <c r="C10" t="s">
        <v>58</v>
      </c>
      <c r="D10" t="s">
        <v>103</v>
      </c>
      <c r="E10" t="s">
        <v>18</v>
      </c>
      <c r="F10" t="s">
        <v>63</v>
      </c>
      <c r="G10">
        <v>214278535</v>
      </c>
    </row>
    <row r="11" spans="1:10" ht="15" x14ac:dyDescent="0.25">
      <c r="A11" t="s">
        <v>102</v>
      </c>
      <c r="B11" t="s">
        <v>11</v>
      </c>
      <c r="C11" t="s">
        <v>58</v>
      </c>
      <c r="D11" t="s">
        <v>103</v>
      </c>
      <c r="E11" t="s">
        <v>20</v>
      </c>
      <c r="F11" t="s">
        <v>65</v>
      </c>
      <c r="G11">
        <v>141869849</v>
      </c>
    </row>
    <row r="12" spans="1:10" ht="15" x14ac:dyDescent="0.25">
      <c r="A12" t="s">
        <v>102</v>
      </c>
      <c r="B12" t="s">
        <v>11</v>
      </c>
      <c r="C12" t="s">
        <v>58</v>
      </c>
      <c r="D12" t="s">
        <v>103</v>
      </c>
      <c r="E12" t="s">
        <v>21</v>
      </c>
      <c r="F12" t="s">
        <v>66</v>
      </c>
      <c r="G12">
        <v>302979308</v>
      </c>
    </row>
    <row r="13" spans="1:10" ht="15" x14ac:dyDescent="0.25">
      <c r="A13" t="s">
        <v>102</v>
      </c>
      <c r="B13" t="s">
        <v>11</v>
      </c>
      <c r="C13" t="s">
        <v>58</v>
      </c>
      <c r="D13" t="s">
        <v>103</v>
      </c>
      <c r="E13" t="s">
        <v>22</v>
      </c>
      <c r="F13" t="s">
        <v>67</v>
      </c>
      <c r="G13">
        <v>180268429</v>
      </c>
    </row>
    <row r="14" spans="1:10" ht="15" x14ac:dyDescent="0.25">
      <c r="A14" t="s">
        <v>102</v>
      </c>
      <c r="B14" t="s">
        <v>11</v>
      </c>
      <c r="C14" t="s">
        <v>58</v>
      </c>
      <c r="D14" t="s">
        <v>103</v>
      </c>
      <c r="E14" t="s">
        <v>23</v>
      </c>
      <c r="F14" t="s">
        <v>68</v>
      </c>
      <c r="G14">
        <v>1370600</v>
      </c>
    </row>
    <row r="15" spans="1:10" ht="15" x14ac:dyDescent="0.25">
      <c r="A15" t="s">
        <v>102</v>
      </c>
      <c r="B15" t="s">
        <v>11</v>
      </c>
      <c r="C15" t="s">
        <v>58</v>
      </c>
      <c r="D15" t="s">
        <v>103</v>
      </c>
      <c r="E15" t="s">
        <v>25</v>
      </c>
      <c r="F15" t="s">
        <v>70</v>
      </c>
      <c r="G15">
        <v>318338029</v>
      </c>
    </row>
    <row r="16" spans="1:10" ht="15" x14ac:dyDescent="0.25">
      <c r="A16" t="s">
        <v>102</v>
      </c>
      <c r="B16" t="s">
        <v>11</v>
      </c>
      <c r="C16" t="s">
        <v>58</v>
      </c>
      <c r="D16" t="s">
        <v>103</v>
      </c>
      <c r="E16" t="s">
        <v>34</v>
      </c>
      <c r="F16" t="s">
        <v>74</v>
      </c>
      <c r="G16">
        <v>78011094</v>
      </c>
    </row>
    <row r="17" spans="1:7" ht="15" x14ac:dyDescent="0.25">
      <c r="A17" t="s">
        <v>102</v>
      </c>
      <c r="B17" t="s">
        <v>11</v>
      </c>
      <c r="C17" t="s">
        <v>58</v>
      </c>
      <c r="D17" t="s">
        <v>103</v>
      </c>
      <c r="E17" t="s">
        <v>35</v>
      </c>
      <c r="F17" t="s">
        <v>75</v>
      </c>
      <c r="G17">
        <v>752397797</v>
      </c>
    </row>
    <row r="18" spans="1:7" ht="15" x14ac:dyDescent="0.25">
      <c r="A18" t="s">
        <v>102</v>
      </c>
      <c r="B18" t="s">
        <v>11</v>
      </c>
      <c r="C18" t="s">
        <v>58</v>
      </c>
      <c r="D18" t="s">
        <v>103</v>
      </c>
      <c r="E18" t="s">
        <v>38</v>
      </c>
      <c r="F18" t="s">
        <v>77</v>
      </c>
      <c r="G18">
        <v>122775731</v>
      </c>
    </row>
    <row r="19" spans="1:7" ht="15" x14ac:dyDescent="0.25">
      <c r="A19" t="s">
        <v>102</v>
      </c>
      <c r="B19" t="s">
        <v>11</v>
      </c>
      <c r="C19" t="s">
        <v>58</v>
      </c>
      <c r="D19" t="s">
        <v>103</v>
      </c>
      <c r="E19" t="s">
        <v>39</v>
      </c>
      <c r="F19" t="s">
        <v>78</v>
      </c>
      <c r="G19">
        <v>166249756</v>
      </c>
    </row>
    <row r="20" spans="1:7" ht="15" x14ac:dyDescent="0.25">
      <c r="A20" t="s">
        <v>102</v>
      </c>
      <c r="B20" t="s">
        <v>11</v>
      </c>
      <c r="C20" t="s">
        <v>58</v>
      </c>
      <c r="D20" t="s">
        <v>103</v>
      </c>
      <c r="E20" t="s">
        <v>40</v>
      </c>
      <c r="F20" t="s">
        <v>79</v>
      </c>
      <c r="G20">
        <v>124611120</v>
      </c>
    </row>
    <row r="21" spans="1:7" ht="15" x14ac:dyDescent="0.25">
      <c r="A21" t="s">
        <v>102</v>
      </c>
      <c r="B21" t="s">
        <v>11</v>
      </c>
      <c r="C21" t="s">
        <v>58</v>
      </c>
      <c r="D21" t="s">
        <v>103</v>
      </c>
      <c r="E21" t="s">
        <v>41</v>
      </c>
      <c r="F21" t="s">
        <v>83</v>
      </c>
      <c r="G21">
        <v>873970</v>
      </c>
    </row>
    <row r="22" spans="1:7" ht="15" x14ac:dyDescent="0.25">
      <c r="A22" t="s">
        <v>102</v>
      </c>
      <c r="B22" t="s">
        <v>11</v>
      </c>
      <c r="C22" t="s">
        <v>58</v>
      </c>
      <c r="D22" t="s">
        <v>103</v>
      </c>
      <c r="E22" t="s">
        <v>43</v>
      </c>
      <c r="F22" t="s">
        <v>81</v>
      </c>
      <c r="G22">
        <v>92061463</v>
      </c>
    </row>
    <row r="23" spans="1:7" ht="15" x14ac:dyDescent="0.25">
      <c r="A23" t="s">
        <v>102</v>
      </c>
      <c r="B23" t="s">
        <v>11</v>
      </c>
      <c r="C23" t="s">
        <v>58</v>
      </c>
      <c r="D23" t="s">
        <v>103</v>
      </c>
      <c r="E23" t="s">
        <v>44</v>
      </c>
      <c r="F23" t="s">
        <v>82</v>
      </c>
      <c r="G23">
        <v>30252417</v>
      </c>
    </row>
    <row r="24" spans="1:7" ht="15" x14ac:dyDescent="0.25">
      <c r="A24" t="s">
        <v>102</v>
      </c>
      <c r="B24" t="s">
        <v>14</v>
      </c>
      <c r="C24" t="s">
        <v>60</v>
      </c>
      <c r="D24" t="s">
        <v>103</v>
      </c>
      <c r="E24" t="s">
        <v>10</v>
      </c>
      <c r="F24" t="s">
        <v>57</v>
      </c>
      <c r="G24">
        <v>6596836</v>
      </c>
    </row>
    <row r="25" spans="1:7" ht="15" x14ac:dyDescent="0.25">
      <c r="A25" t="s">
        <v>102</v>
      </c>
      <c r="B25" t="s">
        <v>14</v>
      </c>
      <c r="C25" t="s">
        <v>60</v>
      </c>
      <c r="D25" t="s">
        <v>103</v>
      </c>
      <c r="E25" t="s">
        <v>15</v>
      </c>
      <c r="F25" t="s">
        <v>61</v>
      </c>
      <c r="G25">
        <v>9906390</v>
      </c>
    </row>
    <row r="26" spans="1:7" ht="15" x14ac:dyDescent="0.25">
      <c r="A26" t="s">
        <v>102</v>
      </c>
      <c r="B26" t="s">
        <v>14</v>
      </c>
      <c r="C26" t="s">
        <v>60</v>
      </c>
      <c r="D26" t="s">
        <v>103</v>
      </c>
      <c r="E26" t="s">
        <v>16</v>
      </c>
      <c r="F26" t="s">
        <v>62</v>
      </c>
      <c r="G26">
        <v>64505196</v>
      </c>
    </row>
    <row r="27" spans="1:7" ht="15" x14ac:dyDescent="0.25">
      <c r="A27" t="s">
        <v>102</v>
      </c>
      <c r="B27" t="s">
        <v>14</v>
      </c>
      <c r="C27" t="s">
        <v>60</v>
      </c>
      <c r="D27" t="s">
        <v>103</v>
      </c>
      <c r="E27" t="s">
        <v>18</v>
      </c>
      <c r="F27" t="s">
        <v>63</v>
      </c>
      <c r="G27">
        <v>39728770</v>
      </c>
    </row>
    <row r="28" spans="1:7" ht="15" x14ac:dyDescent="0.25">
      <c r="A28" t="s">
        <v>102</v>
      </c>
      <c r="B28" t="s">
        <v>14</v>
      </c>
      <c r="C28" t="s">
        <v>60</v>
      </c>
      <c r="D28" t="s">
        <v>103</v>
      </c>
      <c r="E28" t="s">
        <v>20</v>
      </c>
      <c r="F28" t="s">
        <v>65</v>
      </c>
      <c r="G28">
        <v>26303683</v>
      </c>
    </row>
    <row r="29" spans="1:7" ht="15" x14ac:dyDescent="0.25">
      <c r="A29" t="s">
        <v>102</v>
      </c>
      <c r="B29" t="s">
        <v>14</v>
      </c>
      <c r="C29" t="s">
        <v>60</v>
      </c>
      <c r="D29" t="s">
        <v>103</v>
      </c>
      <c r="E29" t="s">
        <v>21</v>
      </c>
      <c r="F29" t="s">
        <v>66</v>
      </c>
      <c r="G29">
        <v>56174527</v>
      </c>
    </row>
    <row r="30" spans="1:7" ht="15" x14ac:dyDescent="0.25">
      <c r="A30" t="s">
        <v>102</v>
      </c>
      <c r="B30" t="s">
        <v>14</v>
      </c>
      <c r="C30" t="s">
        <v>60</v>
      </c>
      <c r="D30" t="s">
        <v>103</v>
      </c>
      <c r="E30" t="s">
        <v>22</v>
      </c>
      <c r="F30" t="s">
        <v>67</v>
      </c>
      <c r="G30">
        <v>33423054</v>
      </c>
    </row>
    <row r="31" spans="1:7" ht="15" x14ac:dyDescent="0.25">
      <c r="A31" t="s">
        <v>102</v>
      </c>
      <c r="B31" t="s">
        <v>14</v>
      </c>
      <c r="C31" t="s">
        <v>60</v>
      </c>
      <c r="D31" t="s">
        <v>103</v>
      </c>
      <c r="E31" t="s">
        <v>23</v>
      </c>
      <c r="F31" t="s">
        <v>68</v>
      </c>
      <c r="G31">
        <v>254119</v>
      </c>
    </row>
    <row r="32" spans="1:7" ht="15" x14ac:dyDescent="0.25">
      <c r="A32" t="s">
        <v>102</v>
      </c>
      <c r="B32" t="s">
        <v>14</v>
      </c>
      <c r="C32" t="s">
        <v>60</v>
      </c>
      <c r="D32" t="s">
        <v>103</v>
      </c>
      <c r="E32" t="s">
        <v>25</v>
      </c>
      <c r="F32" t="s">
        <v>70</v>
      </c>
      <c r="G32">
        <v>59022143</v>
      </c>
    </row>
    <row r="33" spans="1:7" ht="15" x14ac:dyDescent="0.25">
      <c r="A33" t="s">
        <v>102</v>
      </c>
      <c r="B33" t="s">
        <v>14</v>
      </c>
      <c r="C33" t="s">
        <v>60</v>
      </c>
      <c r="D33" t="s">
        <v>103</v>
      </c>
      <c r="E33" t="s">
        <v>34</v>
      </c>
      <c r="F33" t="s">
        <v>74</v>
      </c>
      <c r="G33">
        <v>14463814</v>
      </c>
    </row>
    <row r="34" spans="1:7" ht="15" x14ac:dyDescent="0.25">
      <c r="A34" t="s">
        <v>102</v>
      </c>
      <c r="B34" t="s">
        <v>14</v>
      </c>
      <c r="C34" t="s">
        <v>60</v>
      </c>
      <c r="D34" t="s">
        <v>103</v>
      </c>
      <c r="E34" t="s">
        <v>35</v>
      </c>
      <c r="F34" t="s">
        <v>75</v>
      </c>
      <c r="G34">
        <v>139499923</v>
      </c>
    </row>
    <row r="35" spans="1:7" ht="15" x14ac:dyDescent="0.25">
      <c r="A35" t="s">
        <v>102</v>
      </c>
      <c r="B35" t="s">
        <v>14</v>
      </c>
      <c r="C35" t="s">
        <v>60</v>
      </c>
      <c r="D35" t="s">
        <v>103</v>
      </c>
      <c r="E35" t="s">
        <v>38</v>
      </c>
      <c r="F35" t="s">
        <v>77</v>
      </c>
      <c r="G35">
        <v>22763497</v>
      </c>
    </row>
    <row r="36" spans="1:7" ht="15" x14ac:dyDescent="0.25">
      <c r="A36" t="s">
        <v>102</v>
      </c>
      <c r="B36" t="s">
        <v>14</v>
      </c>
      <c r="C36" t="s">
        <v>60</v>
      </c>
      <c r="D36" t="s">
        <v>103</v>
      </c>
      <c r="E36" t="s">
        <v>39</v>
      </c>
      <c r="F36" t="s">
        <v>78</v>
      </c>
      <c r="G36">
        <v>30823892</v>
      </c>
    </row>
    <row r="37" spans="1:7" ht="15" x14ac:dyDescent="0.25">
      <c r="A37" t="s">
        <v>102</v>
      </c>
      <c r="B37" t="s">
        <v>14</v>
      </c>
      <c r="C37" t="s">
        <v>60</v>
      </c>
      <c r="D37" t="s">
        <v>103</v>
      </c>
      <c r="E37" t="s">
        <v>40</v>
      </c>
      <c r="F37" t="s">
        <v>79</v>
      </c>
      <c r="G37">
        <v>23103791</v>
      </c>
    </row>
    <row r="38" spans="1:7" ht="15" x14ac:dyDescent="0.25">
      <c r="A38" t="s">
        <v>102</v>
      </c>
      <c r="B38" t="s">
        <v>14</v>
      </c>
      <c r="C38" t="s">
        <v>60</v>
      </c>
      <c r="D38" t="s">
        <v>103</v>
      </c>
      <c r="E38" t="s">
        <v>41</v>
      </c>
      <c r="F38" t="s">
        <v>83</v>
      </c>
      <c r="G38">
        <v>162040</v>
      </c>
    </row>
    <row r="39" spans="1:7" ht="15" x14ac:dyDescent="0.25">
      <c r="A39" t="s">
        <v>102</v>
      </c>
      <c r="B39" t="s">
        <v>14</v>
      </c>
      <c r="C39" t="s">
        <v>60</v>
      </c>
      <c r="D39" t="s">
        <v>103</v>
      </c>
      <c r="E39" t="s">
        <v>43</v>
      </c>
      <c r="F39" t="s">
        <v>81</v>
      </c>
      <c r="G39">
        <v>17068852</v>
      </c>
    </row>
    <row r="40" spans="1:7" ht="15" x14ac:dyDescent="0.25">
      <c r="A40" t="s">
        <v>102</v>
      </c>
      <c r="B40" t="s">
        <v>14</v>
      </c>
      <c r="C40" t="s">
        <v>60</v>
      </c>
      <c r="D40" t="s">
        <v>103</v>
      </c>
      <c r="E40" t="s">
        <v>44</v>
      </c>
      <c r="F40" t="s">
        <v>82</v>
      </c>
      <c r="G40">
        <v>5609014</v>
      </c>
    </row>
    <row r="41" spans="1:7" ht="15" x14ac:dyDescent="0.25">
      <c r="A41" t="s">
        <v>102</v>
      </c>
      <c r="B41" t="s">
        <v>24</v>
      </c>
      <c r="C41" t="s">
        <v>69</v>
      </c>
      <c r="D41" t="s">
        <v>103</v>
      </c>
      <c r="E41" t="s">
        <v>10</v>
      </c>
      <c r="F41" t="s">
        <v>57</v>
      </c>
      <c r="G41">
        <v>253494</v>
      </c>
    </row>
    <row r="42" spans="1:7" ht="15" x14ac:dyDescent="0.25">
      <c r="A42" t="s">
        <v>102</v>
      </c>
      <c r="B42" t="s">
        <v>24</v>
      </c>
      <c r="C42" t="s">
        <v>69</v>
      </c>
      <c r="D42" t="s">
        <v>103</v>
      </c>
      <c r="E42" t="s">
        <v>15</v>
      </c>
      <c r="F42" t="s">
        <v>61</v>
      </c>
      <c r="G42">
        <v>380669</v>
      </c>
    </row>
    <row r="43" spans="1:7" ht="15" x14ac:dyDescent="0.25">
      <c r="A43" t="s">
        <v>102</v>
      </c>
      <c r="B43" t="s">
        <v>24</v>
      </c>
      <c r="C43" t="s">
        <v>69</v>
      </c>
      <c r="D43" t="s">
        <v>103</v>
      </c>
      <c r="E43" t="s">
        <v>16</v>
      </c>
      <c r="F43" t="s">
        <v>62</v>
      </c>
      <c r="G43">
        <v>2478719</v>
      </c>
    </row>
    <row r="44" spans="1:7" ht="15" x14ac:dyDescent="0.25">
      <c r="A44" t="s">
        <v>102</v>
      </c>
      <c r="B44" t="s">
        <v>24</v>
      </c>
      <c r="C44" t="s">
        <v>69</v>
      </c>
      <c r="D44" t="s">
        <v>103</v>
      </c>
      <c r="E44" t="s">
        <v>18</v>
      </c>
      <c r="F44" t="s">
        <v>63</v>
      </c>
      <c r="G44">
        <v>1526643</v>
      </c>
    </row>
    <row r="45" spans="1:7" ht="15" x14ac:dyDescent="0.25">
      <c r="A45" t="s">
        <v>102</v>
      </c>
      <c r="B45" t="s">
        <v>24</v>
      </c>
      <c r="C45" t="s">
        <v>69</v>
      </c>
      <c r="D45" t="s">
        <v>103</v>
      </c>
      <c r="E45" t="s">
        <v>20</v>
      </c>
      <c r="F45" t="s">
        <v>65</v>
      </c>
      <c r="G45">
        <v>1010762</v>
      </c>
    </row>
    <row r="46" spans="1:7" ht="15" x14ac:dyDescent="0.25">
      <c r="A46" t="s">
        <v>102</v>
      </c>
      <c r="B46" t="s">
        <v>24</v>
      </c>
      <c r="C46" t="s">
        <v>69</v>
      </c>
      <c r="D46" t="s">
        <v>103</v>
      </c>
      <c r="E46" t="s">
        <v>21</v>
      </c>
      <c r="F46" t="s">
        <v>66</v>
      </c>
      <c r="G46">
        <v>2158599</v>
      </c>
    </row>
    <row r="47" spans="1:7" ht="15" x14ac:dyDescent="0.25">
      <c r="A47" t="s">
        <v>102</v>
      </c>
      <c r="B47" t="s">
        <v>24</v>
      </c>
      <c r="C47" t="s">
        <v>69</v>
      </c>
      <c r="D47" t="s">
        <v>103</v>
      </c>
      <c r="E47" t="s">
        <v>22</v>
      </c>
      <c r="F47" t="s">
        <v>67</v>
      </c>
      <c r="G47">
        <v>1284336</v>
      </c>
    </row>
    <row r="48" spans="1:7" ht="15" x14ac:dyDescent="0.25">
      <c r="A48" t="s">
        <v>102</v>
      </c>
      <c r="B48" t="s">
        <v>24</v>
      </c>
      <c r="C48" t="s">
        <v>69</v>
      </c>
      <c r="D48" t="s">
        <v>103</v>
      </c>
      <c r="E48" t="s">
        <v>23</v>
      </c>
      <c r="F48" t="s">
        <v>68</v>
      </c>
      <c r="G48">
        <v>9765</v>
      </c>
    </row>
    <row r="49" spans="1:7" ht="15" x14ac:dyDescent="0.25">
      <c r="A49" t="s">
        <v>102</v>
      </c>
      <c r="B49" t="s">
        <v>24</v>
      </c>
      <c r="C49" t="s">
        <v>69</v>
      </c>
      <c r="D49" t="s">
        <v>103</v>
      </c>
      <c r="E49" t="s">
        <v>25</v>
      </c>
      <c r="F49" t="s">
        <v>70</v>
      </c>
      <c r="G49">
        <v>2268023</v>
      </c>
    </row>
    <row r="50" spans="1:7" ht="15" x14ac:dyDescent="0.25">
      <c r="A50" t="s">
        <v>102</v>
      </c>
      <c r="B50" t="s">
        <v>24</v>
      </c>
      <c r="C50" t="s">
        <v>69</v>
      </c>
      <c r="D50" t="s">
        <v>103</v>
      </c>
      <c r="E50" t="s">
        <v>34</v>
      </c>
      <c r="F50" t="s">
        <v>74</v>
      </c>
      <c r="G50">
        <v>555796</v>
      </c>
    </row>
    <row r="51" spans="1:7" ht="15" x14ac:dyDescent="0.25">
      <c r="A51" t="s">
        <v>102</v>
      </c>
      <c r="B51" t="s">
        <v>24</v>
      </c>
      <c r="C51" t="s">
        <v>69</v>
      </c>
      <c r="D51" t="s">
        <v>103</v>
      </c>
      <c r="E51" t="s">
        <v>35</v>
      </c>
      <c r="F51" t="s">
        <v>75</v>
      </c>
      <c r="G51">
        <v>5360515</v>
      </c>
    </row>
    <row r="52" spans="1:7" ht="15" x14ac:dyDescent="0.25">
      <c r="A52" t="s">
        <v>102</v>
      </c>
      <c r="B52" t="s">
        <v>24</v>
      </c>
      <c r="C52" t="s">
        <v>69</v>
      </c>
      <c r="D52" t="s">
        <v>103</v>
      </c>
      <c r="E52" t="s">
        <v>38</v>
      </c>
      <c r="F52" t="s">
        <v>77</v>
      </c>
      <c r="G52">
        <v>874725</v>
      </c>
    </row>
    <row r="53" spans="1:7" ht="15" x14ac:dyDescent="0.25">
      <c r="A53" t="s">
        <v>102</v>
      </c>
      <c r="B53" t="s">
        <v>24</v>
      </c>
      <c r="C53" t="s">
        <v>69</v>
      </c>
      <c r="D53" t="s">
        <v>103</v>
      </c>
      <c r="E53" t="s">
        <v>39</v>
      </c>
      <c r="F53" t="s">
        <v>78</v>
      </c>
      <c r="G53">
        <v>1184459</v>
      </c>
    </row>
    <row r="54" spans="1:7" ht="15" x14ac:dyDescent="0.25">
      <c r="A54" t="s">
        <v>102</v>
      </c>
      <c r="B54" t="s">
        <v>24</v>
      </c>
      <c r="C54" t="s">
        <v>69</v>
      </c>
      <c r="D54" t="s">
        <v>103</v>
      </c>
      <c r="E54" t="s">
        <v>40</v>
      </c>
      <c r="F54" t="s">
        <v>79</v>
      </c>
      <c r="G54">
        <v>887801</v>
      </c>
    </row>
    <row r="55" spans="1:7" ht="15" x14ac:dyDescent="0.25">
      <c r="A55" t="s">
        <v>102</v>
      </c>
      <c r="B55" t="s">
        <v>24</v>
      </c>
      <c r="C55" t="s">
        <v>69</v>
      </c>
      <c r="D55" t="s">
        <v>103</v>
      </c>
      <c r="E55" t="s">
        <v>41</v>
      </c>
      <c r="F55" t="s">
        <v>83</v>
      </c>
      <c r="G55">
        <v>6227</v>
      </c>
    </row>
    <row r="56" spans="1:7" ht="15" x14ac:dyDescent="0.25">
      <c r="A56" t="s">
        <v>102</v>
      </c>
      <c r="B56" t="s">
        <v>24</v>
      </c>
      <c r="C56" t="s">
        <v>69</v>
      </c>
      <c r="D56" t="s">
        <v>103</v>
      </c>
      <c r="E56" t="s">
        <v>43</v>
      </c>
      <c r="F56" t="s">
        <v>81</v>
      </c>
      <c r="G56">
        <v>655899</v>
      </c>
    </row>
    <row r="57" spans="1:7" ht="15" x14ac:dyDescent="0.25">
      <c r="A57" t="s">
        <v>102</v>
      </c>
      <c r="B57" t="s">
        <v>24</v>
      </c>
      <c r="C57" t="s">
        <v>69</v>
      </c>
      <c r="D57" t="s">
        <v>103</v>
      </c>
      <c r="E57" t="s">
        <v>44</v>
      </c>
      <c r="F57" t="s">
        <v>82</v>
      </c>
      <c r="G57">
        <v>215536</v>
      </c>
    </row>
    <row r="58" spans="1:7" ht="15" x14ac:dyDescent="0.25">
      <c r="A58" t="s">
        <v>102</v>
      </c>
      <c r="B58" t="s">
        <v>26</v>
      </c>
      <c r="C58" t="s">
        <v>71</v>
      </c>
      <c r="D58" t="s">
        <v>103</v>
      </c>
      <c r="E58" t="s">
        <v>10</v>
      </c>
      <c r="F58" t="s">
        <v>57</v>
      </c>
      <c r="G58">
        <v>994429</v>
      </c>
    </row>
    <row r="59" spans="1:7" ht="15" x14ac:dyDescent="0.25">
      <c r="A59" t="s">
        <v>102</v>
      </c>
      <c r="B59" t="s">
        <v>26</v>
      </c>
      <c r="C59" t="s">
        <v>71</v>
      </c>
      <c r="D59" t="s">
        <v>103</v>
      </c>
      <c r="E59" t="s">
        <v>15</v>
      </c>
      <c r="F59" t="s">
        <v>61</v>
      </c>
      <c r="G59">
        <v>1493321</v>
      </c>
    </row>
    <row r="60" spans="1:7" ht="15" x14ac:dyDescent="0.25">
      <c r="A60" t="s">
        <v>102</v>
      </c>
      <c r="B60" t="s">
        <v>26</v>
      </c>
      <c r="C60" t="s">
        <v>71</v>
      </c>
      <c r="D60" t="s">
        <v>103</v>
      </c>
      <c r="E60" t="s">
        <v>16</v>
      </c>
      <c r="F60" t="s">
        <v>62</v>
      </c>
      <c r="G60">
        <v>9723723</v>
      </c>
    </row>
    <row r="61" spans="1:7" ht="15" x14ac:dyDescent="0.25">
      <c r="A61" t="s">
        <v>102</v>
      </c>
      <c r="B61" t="s">
        <v>26</v>
      </c>
      <c r="C61" t="s">
        <v>71</v>
      </c>
      <c r="D61" t="s">
        <v>103</v>
      </c>
      <c r="E61" t="s">
        <v>18</v>
      </c>
      <c r="F61" t="s">
        <v>63</v>
      </c>
      <c r="G61">
        <v>5988844</v>
      </c>
    </row>
    <row r="62" spans="1:7" ht="15" x14ac:dyDescent="0.25">
      <c r="A62" t="s">
        <v>102</v>
      </c>
      <c r="B62" t="s">
        <v>26</v>
      </c>
      <c r="C62" t="s">
        <v>71</v>
      </c>
      <c r="D62" t="s">
        <v>103</v>
      </c>
      <c r="E62" t="s">
        <v>20</v>
      </c>
      <c r="F62" t="s">
        <v>65</v>
      </c>
      <c r="G62">
        <v>3965103</v>
      </c>
    </row>
    <row r="63" spans="1:7" ht="15" x14ac:dyDescent="0.25">
      <c r="A63" t="s">
        <v>102</v>
      </c>
      <c r="B63" t="s">
        <v>26</v>
      </c>
      <c r="C63" t="s">
        <v>71</v>
      </c>
      <c r="D63" t="s">
        <v>103</v>
      </c>
      <c r="E63" t="s">
        <v>21</v>
      </c>
      <c r="F63" t="s">
        <v>66</v>
      </c>
      <c r="G63">
        <v>8467931</v>
      </c>
    </row>
    <row r="64" spans="1:7" ht="15" x14ac:dyDescent="0.25">
      <c r="A64" t="s">
        <v>102</v>
      </c>
      <c r="B64" t="s">
        <v>26</v>
      </c>
      <c r="C64" t="s">
        <v>71</v>
      </c>
      <c r="D64" t="s">
        <v>103</v>
      </c>
      <c r="E64" t="s">
        <v>22</v>
      </c>
      <c r="F64" t="s">
        <v>67</v>
      </c>
      <c r="G64">
        <v>5038300</v>
      </c>
    </row>
    <row r="65" spans="1:7" ht="15" x14ac:dyDescent="0.25">
      <c r="A65" t="s">
        <v>102</v>
      </c>
      <c r="B65" t="s">
        <v>26</v>
      </c>
      <c r="C65" t="s">
        <v>71</v>
      </c>
      <c r="D65" t="s">
        <v>103</v>
      </c>
      <c r="E65" t="s">
        <v>23</v>
      </c>
      <c r="F65" t="s">
        <v>68</v>
      </c>
      <c r="G65">
        <v>38307</v>
      </c>
    </row>
    <row r="66" spans="1:7" ht="15" x14ac:dyDescent="0.25">
      <c r="A66" t="s">
        <v>102</v>
      </c>
      <c r="B66" t="s">
        <v>26</v>
      </c>
      <c r="C66" t="s">
        <v>71</v>
      </c>
      <c r="D66" t="s">
        <v>103</v>
      </c>
      <c r="E66" t="s">
        <v>25</v>
      </c>
      <c r="F66" t="s">
        <v>70</v>
      </c>
      <c r="G66">
        <v>8897190</v>
      </c>
    </row>
    <row r="67" spans="1:7" ht="15" x14ac:dyDescent="0.25">
      <c r="A67" t="s">
        <v>102</v>
      </c>
      <c r="B67" t="s">
        <v>26</v>
      </c>
      <c r="C67" t="s">
        <v>71</v>
      </c>
      <c r="D67" t="s">
        <v>103</v>
      </c>
      <c r="E67" t="s">
        <v>34</v>
      </c>
      <c r="F67" t="s">
        <v>74</v>
      </c>
      <c r="G67">
        <v>2180322</v>
      </c>
    </row>
    <row r="68" spans="1:7" ht="15" x14ac:dyDescent="0.25">
      <c r="A68" t="s">
        <v>102</v>
      </c>
      <c r="B68" t="s">
        <v>26</v>
      </c>
      <c r="C68" t="s">
        <v>71</v>
      </c>
      <c r="D68" t="s">
        <v>103</v>
      </c>
      <c r="E68" t="s">
        <v>35</v>
      </c>
      <c r="F68" t="s">
        <v>75</v>
      </c>
      <c r="G68">
        <v>21028672</v>
      </c>
    </row>
    <row r="69" spans="1:7" ht="15" x14ac:dyDescent="0.25">
      <c r="A69" t="s">
        <v>102</v>
      </c>
      <c r="B69" t="s">
        <v>26</v>
      </c>
      <c r="C69" t="s">
        <v>71</v>
      </c>
      <c r="D69" t="s">
        <v>103</v>
      </c>
      <c r="E69" t="s">
        <v>38</v>
      </c>
      <c r="F69" t="s">
        <v>77</v>
      </c>
      <c r="G69">
        <v>3431444</v>
      </c>
    </row>
    <row r="70" spans="1:7" ht="15" x14ac:dyDescent="0.25">
      <c r="A70" t="s">
        <v>102</v>
      </c>
      <c r="B70" t="s">
        <v>26</v>
      </c>
      <c r="C70" t="s">
        <v>71</v>
      </c>
      <c r="D70" t="s">
        <v>103</v>
      </c>
      <c r="E70" t="s">
        <v>39</v>
      </c>
      <c r="F70" t="s">
        <v>78</v>
      </c>
      <c r="G70">
        <v>4646494</v>
      </c>
    </row>
    <row r="71" spans="1:7" ht="15" x14ac:dyDescent="0.25">
      <c r="A71" t="s">
        <v>102</v>
      </c>
      <c r="B71" t="s">
        <v>26</v>
      </c>
      <c r="C71" t="s">
        <v>71</v>
      </c>
      <c r="D71" t="s">
        <v>103</v>
      </c>
      <c r="E71" t="s">
        <v>40</v>
      </c>
      <c r="F71" t="s">
        <v>79</v>
      </c>
      <c r="G71">
        <v>3482741</v>
      </c>
    </row>
    <row r="72" spans="1:7" ht="15" x14ac:dyDescent="0.25">
      <c r="A72" t="s">
        <v>102</v>
      </c>
      <c r="B72" t="s">
        <v>26</v>
      </c>
      <c r="C72" t="s">
        <v>71</v>
      </c>
      <c r="D72" t="s">
        <v>103</v>
      </c>
      <c r="E72" t="s">
        <v>41</v>
      </c>
      <c r="F72" t="s">
        <v>83</v>
      </c>
      <c r="G72">
        <v>24426</v>
      </c>
    </row>
    <row r="73" spans="1:7" ht="15" x14ac:dyDescent="0.25">
      <c r="A73" t="s">
        <v>102</v>
      </c>
      <c r="B73" t="s">
        <v>26</v>
      </c>
      <c r="C73" t="s">
        <v>71</v>
      </c>
      <c r="D73" t="s">
        <v>103</v>
      </c>
      <c r="E73" t="s">
        <v>43</v>
      </c>
      <c r="F73" t="s">
        <v>81</v>
      </c>
      <c r="G73">
        <v>2573014</v>
      </c>
    </row>
    <row r="74" spans="1:7" ht="15" x14ac:dyDescent="0.25">
      <c r="A74" t="s">
        <v>102</v>
      </c>
      <c r="B74" t="s">
        <v>26</v>
      </c>
      <c r="C74" t="s">
        <v>71</v>
      </c>
      <c r="D74" t="s">
        <v>103</v>
      </c>
      <c r="E74" t="s">
        <v>44</v>
      </c>
      <c r="F74" t="s">
        <v>82</v>
      </c>
      <c r="G74">
        <v>845521</v>
      </c>
    </row>
    <row r="75" spans="1:7" ht="15" x14ac:dyDescent="0.25">
      <c r="A75" t="s">
        <v>102</v>
      </c>
      <c r="B75" t="s">
        <v>27</v>
      </c>
      <c r="C75" t="s">
        <v>72</v>
      </c>
      <c r="D75" t="s">
        <v>103</v>
      </c>
      <c r="E75" t="s">
        <v>10</v>
      </c>
      <c r="F75" t="s">
        <v>57</v>
      </c>
      <c r="G75">
        <v>210375</v>
      </c>
    </row>
    <row r="76" spans="1:7" ht="15" x14ac:dyDescent="0.25">
      <c r="A76" t="s">
        <v>102</v>
      </c>
      <c r="B76" t="s">
        <v>27</v>
      </c>
      <c r="C76" t="s">
        <v>72</v>
      </c>
      <c r="D76" t="s">
        <v>103</v>
      </c>
      <c r="E76" t="s">
        <v>15</v>
      </c>
      <c r="F76" t="s">
        <v>61</v>
      </c>
      <c r="G76">
        <v>315917</v>
      </c>
    </row>
    <row r="77" spans="1:7" ht="15" x14ac:dyDescent="0.25">
      <c r="A77" t="s">
        <v>102</v>
      </c>
      <c r="B77" t="s">
        <v>27</v>
      </c>
      <c r="C77" t="s">
        <v>72</v>
      </c>
      <c r="D77" t="s">
        <v>103</v>
      </c>
      <c r="E77" t="s">
        <v>16</v>
      </c>
      <c r="F77" t="s">
        <v>62</v>
      </c>
      <c r="G77">
        <v>2057086</v>
      </c>
    </row>
    <row r="78" spans="1:7" ht="15" x14ac:dyDescent="0.25">
      <c r="A78" t="s">
        <v>102</v>
      </c>
      <c r="B78" t="s">
        <v>27</v>
      </c>
      <c r="C78" t="s">
        <v>72</v>
      </c>
      <c r="D78" t="s">
        <v>103</v>
      </c>
      <c r="E78" t="s">
        <v>18</v>
      </c>
      <c r="F78" t="s">
        <v>63</v>
      </c>
      <c r="G78">
        <v>1266960</v>
      </c>
    </row>
    <row r="79" spans="1:7" ht="15" x14ac:dyDescent="0.25">
      <c r="A79" t="s">
        <v>102</v>
      </c>
      <c r="B79" t="s">
        <v>27</v>
      </c>
      <c r="C79" t="s">
        <v>72</v>
      </c>
      <c r="D79" t="s">
        <v>103</v>
      </c>
      <c r="E79" t="s">
        <v>20</v>
      </c>
      <c r="F79" t="s">
        <v>65</v>
      </c>
      <c r="G79">
        <v>838831</v>
      </c>
    </row>
    <row r="80" spans="1:7" ht="15" x14ac:dyDescent="0.25">
      <c r="A80" t="s">
        <v>102</v>
      </c>
      <c r="B80" t="s">
        <v>27</v>
      </c>
      <c r="C80" t="s">
        <v>72</v>
      </c>
      <c r="D80" t="s">
        <v>103</v>
      </c>
      <c r="E80" t="s">
        <v>21</v>
      </c>
      <c r="F80" t="s">
        <v>66</v>
      </c>
      <c r="G80">
        <v>1791419</v>
      </c>
    </row>
    <row r="81" spans="1:7" ht="15" x14ac:dyDescent="0.25">
      <c r="A81" t="s">
        <v>102</v>
      </c>
      <c r="B81" t="s">
        <v>27</v>
      </c>
      <c r="C81" t="s">
        <v>72</v>
      </c>
      <c r="D81" t="s">
        <v>103</v>
      </c>
      <c r="E81" t="s">
        <v>22</v>
      </c>
      <c r="F81" t="s">
        <v>67</v>
      </c>
      <c r="G81">
        <v>1065869</v>
      </c>
    </row>
    <row r="82" spans="1:7" ht="15" x14ac:dyDescent="0.25">
      <c r="A82" t="s">
        <v>102</v>
      </c>
      <c r="B82" t="s">
        <v>27</v>
      </c>
      <c r="C82" t="s">
        <v>72</v>
      </c>
      <c r="D82" t="s">
        <v>103</v>
      </c>
      <c r="E82" t="s">
        <v>23</v>
      </c>
      <c r="F82" t="s">
        <v>68</v>
      </c>
      <c r="G82">
        <v>8104</v>
      </c>
    </row>
    <row r="83" spans="1:7" ht="15" x14ac:dyDescent="0.25">
      <c r="A83" t="s">
        <v>102</v>
      </c>
      <c r="B83" t="s">
        <v>27</v>
      </c>
      <c r="C83" t="s">
        <v>72</v>
      </c>
      <c r="D83" t="s">
        <v>103</v>
      </c>
      <c r="E83" t="s">
        <v>25</v>
      </c>
      <c r="F83" t="s">
        <v>70</v>
      </c>
      <c r="G83">
        <v>1882231</v>
      </c>
    </row>
    <row r="84" spans="1:7" ht="15" x14ac:dyDescent="0.25">
      <c r="A84" t="s">
        <v>102</v>
      </c>
      <c r="B84" t="s">
        <v>27</v>
      </c>
      <c r="C84" t="s">
        <v>72</v>
      </c>
      <c r="D84" t="s">
        <v>103</v>
      </c>
      <c r="E84" t="s">
        <v>34</v>
      </c>
      <c r="F84" t="s">
        <v>74</v>
      </c>
      <c r="G84">
        <v>461255</v>
      </c>
    </row>
    <row r="85" spans="1:7" ht="15" x14ac:dyDescent="0.25">
      <c r="A85" t="s">
        <v>102</v>
      </c>
      <c r="B85" t="s">
        <v>27</v>
      </c>
      <c r="C85" t="s">
        <v>72</v>
      </c>
      <c r="D85" t="s">
        <v>103</v>
      </c>
      <c r="E85" t="s">
        <v>35</v>
      </c>
      <c r="F85" t="s">
        <v>75</v>
      </c>
      <c r="G85">
        <v>4448687</v>
      </c>
    </row>
    <row r="86" spans="1:7" ht="15" x14ac:dyDescent="0.25">
      <c r="A86" t="s">
        <v>102</v>
      </c>
      <c r="B86" t="s">
        <v>27</v>
      </c>
      <c r="C86" t="s">
        <v>72</v>
      </c>
      <c r="D86" t="s">
        <v>103</v>
      </c>
      <c r="E86" t="s">
        <v>38</v>
      </c>
      <c r="F86" t="s">
        <v>77</v>
      </c>
      <c r="G86">
        <v>725933</v>
      </c>
    </row>
    <row r="87" spans="1:7" ht="15" x14ac:dyDescent="0.25">
      <c r="A87" t="s">
        <v>102</v>
      </c>
      <c r="B87" t="s">
        <v>27</v>
      </c>
      <c r="C87" t="s">
        <v>72</v>
      </c>
      <c r="D87" t="s">
        <v>103</v>
      </c>
      <c r="E87" t="s">
        <v>39</v>
      </c>
      <c r="F87" t="s">
        <v>78</v>
      </c>
      <c r="G87">
        <v>982981</v>
      </c>
    </row>
    <row r="88" spans="1:7" ht="15" x14ac:dyDescent="0.25">
      <c r="A88" t="s">
        <v>102</v>
      </c>
      <c r="B88" t="s">
        <v>27</v>
      </c>
      <c r="C88" t="s">
        <v>72</v>
      </c>
      <c r="D88" t="s">
        <v>103</v>
      </c>
      <c r="E88" t="s">
        <v>40</v>
      </c>
      <c r="F88" t="s">
        <v>79</v>
      </c>
      <c r="G88">
        <v>736786</v>
      </c>
    </row>
    <row r="89" spans="1:7" ht="15" x14ac:dyDescent="0.25">
      <c r="A89" t="s">
        <v>102</v>
      </c>
      <c r="B89" t="s">
        <v>27</v>
      </c>
      <c r="C89" t="s">
        <v>72</v>
      </c>
      <c r="D89" t="s">
        <v>103</v>
      </c>
      <c r="E89" t="s">
        <v>41</v>
      </c>
      <c r="F89" t="s">
        <v>83</v>
      </c>
      <c r="G89">
        <v>5168</v>
      </c>
    </row>
    <row r="90" spans="1:7" ht="15" x14ac:dyDescent="0.25">
      <c r="A90" t="s">
        <v>102</v>
      </c>
      <c r="B90" t="s">
        <v>27</v>
      </c>
      <c r="C90" t="s">
        <v>72</v>
      </c>
      <c r="D90" t="s">
        <v>103</v>
      </c>
      <c r="E90" t="s">
        <v>43</v>
      </c>
      <c r="F90" t="s">
        <v>81</v>
      </c>
      <c r="G90">
        <v>544330</v>
      </c>
    </row>
    <row r="91" spans="1:7" ht="15" x14ac:dyDescent="0.25">
      <c r="A91" t="s">
        <v>102</v>
      </c>
      <c r="B91" t="s">
        <v>27</v>
      </c>
      <c r="C91" t="s">
        <v>72</v>
      </c>
      <c r="D91" t="s">
        <v>103</v>
      </c>
      <c r="E91" t="s">
        <v>44</v>
      </c>
      <c r="F91" t="s">
        <v>82</v>
      </c>
      <c r="G91">
        <v>178873</v>
      </c>
    </row>
    <row r="92" spans="1:7" ht="15" x14ac:dyDescent="0.25">
      <c r="A92" t="s">
        <v>102</v>
      </c>
      <c r="B92" t="s">
        <v>28</v>
      </c>
      <c r="C92" t="s">
        <v>73</v>
      </c>
      <c r="D92" t="s">
        <v>103</v>
      </c>
      <c r="E92" t="s">
        <v>10</v>
      </c>
      <c r="F92" t="s">
        <v>57</v>
      </c>
      <c r="G92">
        <v>816896</v>
      </c>
    </row>
    <row r="93" spans="1:7" ht="15" x14ac:dyDescent="0.25">
      <c r="A93" t="s">
        <v>102</v>
      </c>
      <c r="B93" t="s">
        <v>28</v>
      </c>
      <c r="C93" t="s">
        <v>73</v>
      </c>
      <c r="D93" t="s">
        <v>103</v>
      </c>
      <c r="E93" t="s">
        <v>15</v>
      </c>
      <c r="F93" t="s">
        <v>61</v>
      </c>
      <c r="G93">
        <v>1226724</v>
      </c>
    </row>
    <row r="94" spans="1:7" ht="15" x14ac:dyDescent="0.25">
      <c r="A94" t="s">
        <v>102</v>
      </c>
      <c r="B94" t="s">
        <v>28</v>
      </c>
      <c r="C94" t="s">
        <v>73</v>
      </c>
      <c r="D94" t="s">
        <v>103</v>
      </c>
      <c r="E94" t="s">
        <v>16</v>
      </c>
      <c r="F94" t="s">
        <v>62</v>
      </c>
      <c r="G94">
        <v>7987778</v>
      </c>
    </row>
    <row r="95" spans="1:7" ht="15" x14ac:dyDescent="0.25">
      <c r="A95" t="s">
        <v>102</v>
      </c>
      <c r="B95" t="s">
        <v>28</v>
      </c>
      <c r="C95" t="s">
        <v>73</v>
      </c>
      <c r="D95" t="s">
        <v>103</v>
      </c>
      <c r="E95" t="s">
        <v>18</v>
      </c>
      <c r="F95" t="s">
        <v>63</v>
      </c>
      <c r="G95">
        <v>4919675</v>
      </c>
    </row>
    <row r="96" spans="1:7" ht="15" x14ac:dyDescent="0.25">
      <c r="A96" t="s">
        <v>102</v>
      </c>
      <c r="B96" t="s">
        <v>28</v>
      </c>
      <c r="C96" t="s">
        <v>73</v>
      </c>
      <c r="D96" t="s">
        <v>103</v>
      </c>
      <c r="E96" t="s">
        <v>20</v>
      </c>
      <c r="F96" t="s">
        <v>65</v>
      </c>
      <c r="G96">
        <v>3257226</v>
      </c>
    </row>
    <row r="97" spans="1:7" ht="15" x14ac:dyDescent="0.25">
      <c r="A97" t="s">
        <v>102</v>
      </c>
      <c r="B97" t="s">
        <v>28</v>
      </c>
      <c r="C97" t="s">
        <v>73</v>
      </c>
      <c r="D97" t="s">
        <v>103</v>
      </c>
      <c r="E97" t="s">
        <v>21</v>
      </c>
      <c r="F97" t="s">
        <v>66</v>
      </c>
      <c r="G97">
        <v>6956179</v>
      </c>
    </row>
    <row r="98" spans="1:7" ht="15" x14ac:dyDescent="0.25">
      <c r="A98" t="s">
        <v>102</v>
      </c>
      <c r="B98" t="s">
        <v>28</v>
      </c>
      <c r="C98" t="s">
        <v>73</v>
      </c>
      <c r="D98" t="s">
        <v>103</v>
      </c>
      <c r="E98" t="s">
        <v>22</v>
      </c>
      <c r="F98" t="s">
        <v>67</v>
      </c>
      <c r="G98">
        <v>4138829</v>
      </c>
    </row>
    <row r="99" spans="1:7" ht="15" x14ac:dyDescent="0.25">
      <c r="A99" t="s">
        <v>102</v>
      </c>
      <c r="B99" t="s">
        <v>28</v>
      </c>
      <c r="C99" t="s">
        <v>73</v>
      </c>
      <c r="D99" t="s">
        <v>103</v>
      </c>
      <c r="E99" t="s">
        <v>23</v>
      </c>
      <c r="F99" t="s">
        <v>68</v>
      </c>
      <c r="G99">
        <v>31468</v>
      </c>
    </row>
    <row r="100" spans="1:7" ht="15" x14ac:dyDescent="0.25">
      <c r="A100" t="s">
        <v>102</v>
      </c>
      <c r="B100" t="s">
        <v>28</v>
      </c>
      <c r="C100" t="s">
        <v>73</v>
      </c>
      <c r="D100" t="s">
        <v>103</v>
      </c>
      <c r="E100" t="s">
        <v>25</v>
      </c>
      <c r="F100" t="s">
        <v>70</v>
      </c>
      <c r="G100">
        <v>7308803</v>
      </c>
    </row>
    <row r="101" spans="1:7" ht="15" x14ac:dyDescent="0.25">
      <c r="A101" t="s">
        <v>102</v>
      </c>
      <c r="B101" t="s">
        <v>28</v>
      </c>
      <c r="C101" t="s">
        <v>73</v>
      </c>
      <c r="D101" t="s">
        <v>103</v>
      </c>
      <c r="E101" t="s">
        <v>34</v>
      </c>
      <c r="F101" t="s">
        <v>74</v>
      </c>
      <c r="G101">
        <v>1791076</v>
      </c>
    </row>
    <row r="102" spans="1:7" ht="15" x14ac:dyDescent="0.25">
      <c r="A102" t="s">
        <v>102</v>
      </c>
      <c r="B102" t="s">
        <v>28</v>
      </c>
      <c r="C102" t="s">
        <v>73</v>
      </c>
      <c r="D102" t="s">
        <v>103</v>
      </c>
      <c r="E102" t="s">
        <v>35</v>
      </c>
      <c r="F102" t="s">
        <v>75</v>
      </c>
      <c r="G102">
        <v>17274492</v>
      </c>
    </row>
    <row r="103" spans="1:7" ht="15" x14ac:dyDescent="0.25">
      <c r="A103" t="s">
        <v>102</v>
      </c>
      <c r="B103" t="s">
        <v>28</v>
      </c>
      <c r="C103" t="s">
        <v>73</v>
      </c>
      <c r="D103" t="s">
        <v>103</v>
      </c>
      <c r="E103" t="s">
        <v>38</v>
      </c>
      <c r="F103" t="s">
        <v>77</v>
      </c>
      <c r="G103">
        <v>2818839</v>
      </c>
    </row>
    <row r="104" spans="1:7" ht="15" x14ac:dyDescent="0.25">
      <c r="A104" t="s">
        <v>102</v>
      </c>
      <c r="B104" t="s">
        <v>28</v>
      </c>
      <c r="C104" t="s">
        <v>73</v>
      </c>
      <c r="D104" t="s">
        <v>103</v>
      </c>
      <c r="E104" t="s">
        <v>39</v>
      </c>
      <c r="F104" t="s">
        <v>78</v>
      </c>
      <c r="G104">
        <v>3816970</v>
      </c>
    </row>
    <row r="105" spans="1:7" ht="15" x14ac:dyDescent="0.25">
      <c r="A105" t="s">
        <v>102</v>
      </c>
      <c r="B105" t="s">
        <v>28</v>
      </c>
      <c r="C105" t="s">
        <v>73</v>
      </c>
      <c r="D105" t="s">
        <v>103</v>
      </c>
      <c r="E105" t="s">
        <v>40</v>
      </c>
      <c r="F105" t="s">
        <v>79</v>
      </c>
      <c r="G105">
        <v>2860978</v>
      </c>
    </row>
    <row r="106" spans="1:7" ht="15" x14ac:dyDescent="0.25">
      <c r="A106" t="s">
        <v>102</v>
      </c>
      <c r="B106" t="s">
        <v>28</v>
      </c>
      <c r="C106" t="s">
        <v>73</v>
      </c>
      <c r="D106" t="s">
        <v>103</v>
      </c>
      <c r="E106" t="s">
        <v>41</v>
      </c>
      <c r="F106" t="s">
        <v>83</v>
      </c>
      <c r="G106">
        <v>20066</v>
      </c>
    </row>
    <row r="107" spans="1:7" ht="15" x14ac:dyDescent="0.25">
      <c r="A107" t="s">
        <v>102</v>
      </c>
      <c r="B107" t="s">
        <v>28</v>
      </c>
      <c r="C107" t="s">
        <v>73</v>
      </c>
      <c r="D107" t="s">
        <v>103</v>
      </c>
      <c r="E107" t="s">
        <v>43</v>
      </c>
      <c r="F107" t="s">
        <v>81</v>
      </c>
      <c r="G107">
        <v>2113662</v>
      </c>
    </row>
    <row r="108" spans="1:7" ht="15" x14ac:dyDescent="0.25">
      <c r="A108" t="s">
        <v>102</v>
      </c>
      <c r="B108" t="s">
        <v>28</v>
      </c>
      <c r="C108" t="s">
        <v>73</v>
      </c>
      <c r="D108" t="s">
        <v>103</v>
      </c>
      <c r="E108" t="s">
        <v>44</v>
      </c>
      <c r="F108" t="s">
        <v>82</v>
      </c>
      <c r="G108">
        <v>694573</v>
      </c>
    </row>
    <row r="109" spans="1:7" ht="15" x14ac:dyDescent="0.25">
      <c r="A109" t="s">
        <v>102</v>
      </c>
      <c r="B109" t="s">
        <v>13</v>
      </c>
      <c r="C109" t="s">
        <v>59</v>
      </c>
      <c r="D109" t="s">
        <v>103</v>
      </c>
      <c r="E109" t="s">
        <v>10</v>
      </c>
      <c r="F109" t="s">
        <v>57</v>
      </c>
      <c r="G109">
        <v>34507431</v>
      </c>
    </row>
    <row r="110" spans="1:7" ht="15" x14ac:dyDescent="0.25">
      <c r="A110" t="s">
        <v>102</v>
      </c>
      <c r="B110" t="s">
        <v>13</v>
      </c>
      <c r="C110" t="s">
        <v>59</v>
      </c>
      <c r="D110" t="s">
        <v>103</v>
      </c>
      <c r="E110" t="s">
        <v>15</v>
      </c>
      <c r="F110" t="s">
        <v>61</v>
      </c>
      <c r="G110">
        <v>51819395</v>
      </c>
    </row>
    <row r="111" spans="1:7" ht="15" x14ac:dyDescent="0.25">
      <c r="A111" t="s">
        <v>102</v>
      </c>
      <c r="B111" t="s">
        <v>13</v>
      </c>
      <c r="C111" t="s">
        <v>59</v>
      </c>
      <c r="D111" t="s">
        <v>103</v>
      </c>
      <c r="E111" t="s">
        <v>16</v>
      </c>
      <c r="F111" t="s">
        <v>62</v>
      </c>
      <c r="G111">
        <v>337420630</v>
      </c>
    </row>
    <row r="112" spans="1:7" ht="15" x14ac:dyDescent="0.25">
      <c r="A112" t="s">
        <v>102</v>
      </c>
      <c r="B112" t="s">
        <v>13</v>
      </c>
      <c r="C112" t="s">
        <v>59</v>
      </c>
      <c r="D112" t="s">
        <v>103</v>
      </c>
      <c r="E112" t="s">
        <v>18</v>
      </c>
      <c r="F112" t="s">
        <v>63</v>
      </c>
      <c r="G112">
        <v>207817470</v>
      </c>
    </row>
    <row r="113" spans="1:7" ht="15" x14ac:dyDescent="0.25">
      <c r="A113" t="s">
        <v>102</v>
      </c>
      <c r="B113" t="s">
        <v>13</v>
      </c>
      <c r="C113" t="s">
        <v>59</v>
      </c>
      <c r="D113" t="s">
        <v>103</v>
      </c>
      <c r="E113" t="s">
        <v>20</v>
      </c>
      <c r="F113" t="s">
        <v>65</v>
      </c>
      <c r="G113">
        <v>137592097</v>
      </c>
    </row>
    <row r="114" spans="1:7" ht="15" x14ac:dyDescent="0.25">
      <c r="A114" t="s">
        <v>102</v>
      </c>
      <c r="B114" t="s">
        <v>13</v>
      </c>
      <c r="C114" t="s">
        <v>59</v>
      </c>
      <c r="D114" t="s">
        <v>103</v>
      </c>
      <c r="E114" t="s">
        <v>21</v>
      </c>
      <c r="F114" t="s">
        <v>66</v>
      </c>
      <c r="G114">
        <v>293843679</v>
      </c>
    </row>
    <row r="115" spans="1:7" ht="15" x14ac:dyDescent="0.25">
      <c r="A115" t="s">
        <v>102</v>
      </c>
      <c r="B115" t="s">
        <v>13</v>
      </c>
      <c r="C115" t="s">
        <v>59</v>
      </c>
      <c r="D115" t="s">
        <v>103</v>
      </c>
      <c r="E115" t="s">
        <v>22</v>
      </c>
      <c r="F115" t="s">
        <v>67</v>
      </c>
      <c r="G115">
        <v>174832858</v>
      </c>
    </row>
    <row r="116" spans="1:7" ht="15" x14ac:dyDescent="0.25">
      <c r="A116" t="s">
        <v>102</v>
      </c>
      <c r="B116" t="s">
        <v>13</v>
      </c>
      <c r="C116" t="s">
        <v>59</v>
      </c>
      <c r="D116" t="s">
        <v>103</v>
      </c>
      <c r="E116" t="s">
        <v>23</v>
      </c>
      <c r="F116" t="s">
        <v>68</v>
      </c>
      <c r="G116">
        <v>1329273</v>
      </c>
    </row>
    <row r="117" spans="1:7" ht="15" x14ac:dyDescent="0.25">
      <c r="A117" t="s">
        <v>102</v>
      </c>
      <c r="B117" t="s">
        <v>13</v>
      </c>
      <c r="C117" t="s">
        <v>59</v>
      </c>
      <c r="D117" t="s">
        <v>103</v>
      </c>
      <c r="E117" t="s">
        <v>25</v>
      </c>
      <c r="F117" t="s">
        <v>70</v>
      </c>
      <c r="G117">
        <v>308739295</v>
      </c>
    </row>
    <row r="118" spans="1:7" ht="15" x14ac:dyDescent="0.25">
      <c r="A118" t="s">
        <v>102</v>
      </c>
      <c r="B118" t="s">
        <v>13</v>
      </c>
      <c r="C118" t="s">
        <v>59</v>
      </c>
      <c r="D118" t="s">
        <v>103</v>
      </c>
      <c r="E118" t="s">
        <v>34</v>
      </c>
      <c r="F118" t="s">
        <v>74</v>
      </c>
      <c r="G118">
        <v>75658853</v>
      </c>
    </row>
    <row r="119" spans="1:7" ht="15" x14ac:dyDescent="0.25">
      <c r="A119" t="s">
        <v>102</v>
      </c>
      <c r="B119" t="s">
        <v>13</v>
      </c>
      <c r="C119" t="s">
        <v>59</v>
      </c>
      <c r="D119" t="s">
        <v>103</v>
      </c>
      <c r="E119" t="s">
        <v>35</v>
      </c>
      <c r="F119" t="s">
        <v>75</v>
      </c>
      <c r="G119">
        <v>729711011</v>
      </c>
    </row>
    <row r="120" spans="1:7" ht="15" x14ac:dyDescent="0.25">
      <c r="A120" t="s">
        <v>102</v>
      </c>
      <c r="B120" t="s">
        <v>13</v>
      </c>
      <c r="C120" t="s">
        <v>59</v>
      </c>
      <c r="D120" t="s">
        <v>103</v>
      </c>
      <c r="E120" t="s">
        <v>38</v>
      </c>
      <c r="F120" t="s">
        <v>77</v>
      </c>
      <c r="G120">
        <v>119073717</v>
      </c>
    </row>
    <row r="121" spans="1:7" ht="15" x14ac:dyDescent="0.25">
      <c r="A121" t="s">
        <v>102</v>
      </c>
      <c r="B121" t="s">
        <v>13</v>
      </c>
      <c r="C121" t="s">
        <v>59</v>
      </c>
      <c r="D121" t="s">
        <v>103</v>
      </c>
      <c r="E121" t="s">
        <v>39</v>
      </c>
      <c r="F121" t="s">
        <v>78</v>
      </c>
      <c r="G121">
        <v>161236885</v>
      </c>
    </row>
    <row r="122" spans="1:7" ht="15" x14ac:dyDescent="0.25">
      <c r="A122" t="s">
        <v>102</v>
      </c>
      <c r="B122" t="s">
        <v>13</v>
      </c>
      <c r="C122" t="s">
        <v>59</v>
      </c>
      <c r="D122" t="s">
        <v>103</v>
      </c>
      <c r="E122" t="s">
        <v>40</v>
      </c>
      <c r="F122" t="s">
        <v>79</v>
      </c>
      <c r="G122">
        <v>120853765</v>
      </c>
    </row>
    <row r="123" spans="1:7" ht="15" x14ac:dyDescent="0.25">
      <c r="A123" t="s">
        <v>102</v>
      </c>
      <c r="B123" t="s">
        <v>13</v>
      </c>
      <c r="C123" t="s">
        <v>59</v>
      </c>
      <c r="D123" t="s">
        <v>103</v>
      </c>
      <c r="E123" t="s">
        <v>41</v>
      </c>
      <c r="F123" t="s">
        <v>83</v>
      </c>
      <c r="G123">
        <v>847617</v>
      </c>
    </row>
    <row r="124" spans="1:7" ht="15" x14ac:dyDescent="0.25">
      <c r="A124" t="s">
        <v>102</v>
      </c>
      <c r="B124" t="s">
        <v>13</v>
      </c>
      <c r="C124" t="s">
        <v>59</v>
      </c>
      <c r="D124" t="s">
        <v>103</v>
      </c>
      <c r="E124" t="s">
        <v>43</v>
      </c>
      <c r="F124" t="s">
        <v>81</v>
      </c>
      <c r="G124">
        <v>89285566</v>
      </c>
    </row>
    <row r="125" spans="1:7" ht="15" x14ac:dyDescent="0.25">
      <c r="A125" t="s">
        <v>102</v>
      </c>
      <c r="B125" t="s">
        <v>13</v>
      </c>
      <c r="C125" t="s">
        <v>59</v>
      </c>
      <c r="D125" t="s">
        <v>103</v>
      </c>
      <c r="E125" t="s">
        <v>44</v>
      </c>
      <c r="F125" t="s">
        <v>82</v>
      </c>
      <c r="G125">
        <v>29340226</v>
      </c>
    </row>
    <row r="126" spans="1:7" ht="15" x14ac:dyDescent="0.25">
      <c r="A126" t="s">
        <v>102</v>
      </c>
      <c r="B126" t="s">
        <v>36</v>
      </c>
      <c r="C126" t="s">
        <v>76</v>
      </c>
      <c r="D126" t="s">
        <v>103</v>
      </c>
      <c r="E126" t="s">
        <v>10</v>
      </c>
      <c r="F126" t="s">
        <v>57</v>
      </c>
      <c r="G126">
        <v>190979</v>
      </c>
    </row>
    <row r="127" spans="1:7" ht="15" x14ac:dyDescent="0.25">
      <c r="A127" t="s">
        <v>102</v>
      </c>
      <c r="B127" t="s">
        <v>36</v>
      </c>
      <c r="C127" t="s">
        <v>76</v>
      </c>
      <c r="D127" t="s">
        <v>103</v>
      </c>
      <c r="E127" t="s">
        <v>15</v>
      </c>
      <c r="F127" t="s">
        <v>61</v>
      </c>
      <c r="G127">
        <v>286791</v>
      </c>
    </row>
    <row r="128" spans="1:7" ht="15" x14ac:dyDescent="0.25">
      <c r="A128" t="s">
        <v>102</v>
      </c>
      <c r="B128" t="s">
        <v>36</v>
      </c>
      <c r="C128" t="s">
        <v>76</v>
      </c>
      <c r="D128" t="s">
        <v>103</v>
      </c>
      <c r="E128" t="s">
        <v>16</v>
      </c>
      <c r="F128" t="s">
        <v>62</v>
      </c>
      <c r="G128">
        <v>1867435</v>
      </c>
    </row>
    <row r="129" spans="1:7" ht="15" x14ac:dyDescent="0.25">
      <c r="A129" t="s">
        <v>102</v>
      </c>
      <c r="B129" t="s">
        <v>36</v>
      </c>
      <c r="C129" t="s">
        <v>76</v>
      </c>
      <c r="D129" t="s">
        <v>103</v>
      </c>
      <c r="E129" t="s">
        <v>18</v>
      </c>
      <c r="F129" t="s">
        <v>63</v>
      </c>
      <c r="G129">
        <v>1150154</v>
      </c>
    </row>
    <row r="130" spans="1:7" ht="15" x14ac:dyDescent="0.25">
      <c r="A130" t="s">
        <v>102</v>
      </c>
      <c r="B130" t="s">
        <v>36</v>
      </c>
      <c r="C130" t="s">
        <v>76</v>
      </c>
      <c r="D130" t="s">
        <v>103</v>
      </c>
      <c r="E130" t="s">
        <v>20</v>
      </c>
      <c r="F130" t="s">
        <v>65</v>
      </c>
      <c r="G130">
        <v>761496</v>
      </c>
    </row>
    <row r="131" spans="1:7" ht="15" x14ac:dyDescent="0.25">
      <c r="A131" t="s">
        <v>102</v>
      </c>
      <c r="B131" t="s">
        <v>36</v>
      </c>
      <c r="C131" t="s">
        <v>76</v>
      </c>
      <c r="D131" t="s">
        <v>103</v>
      </c>
      <c r="E131" t="s">
        <v>21</v>
      </c>
      <c r="F131" t="s">
        <v>66</v>
      </c>
      <c r="G131">
        <v>1626261</v>
      </c>
    </row>
    <row r="132" spans="1:7" ht="15" x14ac:dyDescent="0.25">
      <c r="A132" t="s">
        <v>102</v>
      </c>
      <c r="B132" t="s">
        <v>36</v>
      </c>
      <c r="C132" t="s">
        <v>76</v>
      </c>
      <c r="D132" t="s">
        <v>103</v>
      </c>
      <c r="E132" t="s">
        <v>22</v>
      </c>
      <c r="F132" t="s">
        <v>67</v>
      </c>
      <c r="G132">
        <v>967602</v>
      </c>
    </row>
    <row r="133" spans="1:7" ht="15" x14ac:dyDescent="0.25">
      <c r="A133" t="s">
        <v>102</v>
      </c>
      <c r="B133" t="s">
        <v>36</v>
      </c>
      <c r="C133" t="s">
        <v>76</v>
      </c>
      <c r="D133" t="s">
        <v>103</v>
      </c>
      <c r="E133" t="s">
        <v>23</v>
      </c>
      <c r="F133" t="s">
        <v>68</v>
      </c>
      <c r="G133">
        <v>7357</v>
      </c>
    </row>
    <row r="134" spans="1:7" ht="15" x14ac:dyDescent="0.25">
      <c r="A134" t="s">
        <v>102</v>
      </c>
      <c r="B134" t="s">
        <v>36</v>
      </c>
      <c r="C134" t="s">
        <v>76</v>
      </c>
      <c r="D134" t="s">
        <v>103</v>
      </c>
      <c r="E134" t="s">
        <v>25</v>
      </c>
      <c r="F134" t="s">
        <v>70</v>
      </c>
      <c r="G134">
        <v>1708700</v>
      </c>
    </row>
    <row r="135" spans="1:7" ht="15" x14ac:dyDescent="0.25">
      <c r="A135" t="s">
        <v>102</v>
      </c>
      <c r="B135" t="s">
        <v>36</v>
      </c>
      <c r="C135" t="s">
        <v>76</v>
      </c>
      <c r="D135" t="s">
        <v>103</v>
      </c>
      <c r="E135" t="s">
        <v>34</v>
      </c>
      <c r="F135" t="s">
        <v>74</v>
      </c>
      <c r="G135">
        <v>418730</v>
      </c>
    </row>
    <row r="136" spans="1:7" ht="15" x14ac:dyDescent="0.25">
      <c r="A136" t="s">
        <v>102</v>
      </c>
      <c r="B136" t="s">
        <v>36</v>
      </c>
      <c r="C136" t="s">
        <v>76</v>
      </c>
      <c r="D136" t="s">
        <v>103</v>
      </c>
      <c r="E136" t="s">
        <v>35</v>
      </c>
      <c r="F136" t="s">
        <v>75</v>
      </c>
      <c r="G136">
        <v>4038544</v>
      </c>
    </row>
    <row r="137" spans="1:7" ht="15" x14ac:dyDescent="0.25">
      <c r="A137" t="s">
        <v>102</v>
      </c>
      <c r="B137" t="s">
        <v>36</v>
      </c>
      <c r="C137" t="s">
        <v>76</v>
      </c>
      <c r="D137" t="s">
        <v>103</v>
      </c>
      <c r="E137" t="s">
        <v>38</v>
      </c>
      <c r="F137" t="s">
        <v>77</v>
      </c>
      <c r="G137">
        <v>659007</v>
      </c>
    </row>
    <row r="138" spans="1:7" ht="15" x14ac:dyDescent="0.25">
      <c r="A138" t="s">
        <v>102</v>
      </c>
      <c r="B138" t="s">
        <v>36</v>
      </c>
      <c r="C138" t="s">
        <v>76</v>
      </c>
      <c r="D138" t="s">
        <v>103</v>
      </c>
      <c r="E138" t="s">
        <v>39</v>
      </c>
      <c r="F138" t="s">
        <v>78</v>
      </c>
      <c r="G138">
        <v>892356</v>
      </c>
    </row>
    <row r="139" spans="1:7" ht="15" x14ac:dyDescent="0.25">
      <c r="A139" t="s">
        <v>102</v>
      </c>
      <c r="B139" t="s">
        <v>36</v>
      </c>
      <c r="C139" t="s">
        <v>76</v>
      </c>
      <c r="D139" t="s">
        <v>103</v>
      </c>
      <c r="E139" t="s">
        <v>40</v>
      </c>
      <c r="F139" t="s">
        <v>79</v>
      </c>
      <c r="G139">
        <v>668858</v>
      </c>
    </row>
    <row r="140" spans="1:7" ht="15" x14ac:dyDescent="0.25">
      <c r="A140" t="s">
        <v>102</v>
      </c>
      <c r="B140" t="s">
        <v>36</v>
      </c>
      <c r="C140" t="s">
        <v>76</v>
      </c>
      <c r="D140" t="s">
        <v>103</v>
      </c>
      <c r="E140" t="s">
        <v>41</v>
      </c>
      <c r="F140" t="s">
        <v>83</v>
      </c>
      <c r="G140">
        <v>4691</v>
      </c>
    </row>
    <row r="141" spans="1:7" ht="15" x14ac:dyDescent="0.25">
      <c r="A141" t="s">
        <v>102</v>
      </c>
      <c r="B141" t="s">
        <v>36</v>
      </c>
      <c r="C141" t="s">
        <v>76</v>
      </c>
      <c r="D141" t="s">
        <v>103</v>
      </c>
      <c r="E141" t="s">
        <v>43</v>
      </c>
      <c r="F141" t="s">
        <v>81</v>
      </c>
      <c r="G141">
        <v>494146</v>
      </c>
    </row>
    <row r="142" spans="1:7" ht="15" x14ac:dyDescent="0.25">
      <c r="A142" t="s">
        <v>102</v>
      </c>
      <c r="B142" t="s">
        <v>36</v>
      </c>
      <c r="C142" t="s">
        <v>76</v>
      </c>
      <c r="D142" t="s">
        <v>103</v>
      </c>
      <c r="E142" t="s">
        <v>44</v>
      </c>
      <c r="F142" t="s">
        <v>82</v>
      </c>
      <c r="G142">
        <v>162382</v>
      </c>
    </row>
    <row r="143" spans="1:7" ht="15" x14ac:dyDescent="0.25">
      <c r="A143" t="s">
        <v>102</v>
      </c>
      <c r="B143" t="s">
        <v>42</v>
      </c>
      <c r="C143" t="s">
        <v>80</v>
      </c>
      <c r="D143" t="s">
        <v>103</v>
      </c>
      <c r="E143" t="s">
        <v>10</v>
      </c>
      <c r="F143" t="s">
        <v>57</v>
      </c>
      <c r="G143">
        <v>3570443</v>
      </c>
    </row>
    <row r="144" spans="1:7" ht="15" x14ac:dyDescent="0.25">
      <c r="A144" t="s">
        <v>102</v>
      </c>
      <c r="B144" t="s">
        <v>42</v>
      </c>
      <c r="C144" t="s">
        <v>80</v>
      </c>
      <c r="D144" t="s">
        <v>103</v>
      </c>
      <c r="E144" t="s">
        <v>15</v>
      </c>
      <c r="F144" t="s">
        <v>61</v>
      </c>
      <c r="G144">
        <v>5361691</v>
      </c>
    </row>
    <row r="145" spans="1:7" ht="15" x14ac:dyDescent="0.25">
      <c r="A145" t="s">
        <v>102</v>
      </c>
      <c r="B145" t="s">
        <v>42</v>
      </c>
      <c r="C145" t="s">
        <v>80</v>
      </c>
      <c r="D145" t="s">
        <v>103</v>
      </c>
      <c r="E145" t="s">
        <v>16</v>
      </c>
      <c r="F145" t="s">
        <v>62</v>
      </c>
      <c r="G145">
        <v>34912513</v>
      </c>
    </row>
    <row r="146" spans="1:7" ht="15" x14ac:dyDescent="0.25">
      <c r="A146" t="s">
        <v>102</v>
      </c>
      <c r="B146" t="s">
        <v>42</v>
      </c>
      <c r="C146" t="s">
        <v>80</v>
      </c>
      <c r="D146" t="s">
        <v>103</v>
      </c>
      <c r="E146" t="s">
        <v>18</v>
      </c>
      <c r="F146" t="s">
        <v>63</v>
      </c>
      <c r="G146">
        <v>21502628</v>
      </c>
    </row>
    <row r="147" spans="1:7" ht="15" x14ac:dyDescent="0.25">
      <c r="A147" t="s">
        <v>102</v>
      </c>
      <c r="B147" t="s">
        <v>42</v>
      </c>
      <c r="C147" t="s">
        <v>80</v>
      </c>
      <c r="D147" t="s">
        <v>103</v>
      </c>
      <c r="E147" t="s">
        <v>20</v>
      </c>
      <c r="F147" t="s">
        <v>65</v>
      </c>
      <c r="G147">
        <v>14236491</v>
      </c>
    </row>
    <row r="148" spans="1:7" ht="15" x14ac:dyDescent="0.25">
      <c r="A148" t="s">
        <v>102</v>
      </c>
      <c r="B148" t="s">
        <v>42</v>
      </c>
      <c r="C148" t="s">
        <v>80</v>
      </c>
      <c r="D148" t="s">
        <v>103</v>
      </c>
      <c r="E148" t="s">
        <v>21</v>
      </c>
      <c r="F148" t="s">
        <v>66</v>
      </c>
      <c r="G148">
        <v>30403658</v>
      </c>
    </row>
    <row r="149" spans="1:7" ht="15" x14ac:dyDescent="0.25">
      <c r="A149" t="s">
        <v>102</v>
      </c>
      <c r="B149" t="s">
        <v>42</v>
      </c>
      <c r="C149" t="s">
        <v>80</v>
      </c>
      <c r="D149" t="s">
        <v>103</v>
      </c>
      <c r="E149" t="s">
        <v>22</v>
      </c>
      <c r="F149" t="s">
        <v>67</v>
      </c>
      <c r="G149">
        <v>18089749</v>
      </c>
    </row>
    <row r="150" spans="1:7" ht="15" x14ac:dyDescent="0.25">
      <c r="A150" t="s">
        <v>102</v>
      </c>
      <c r="B150" t="s">
        <v>42</v>
      </c>
      <c r="C150" t="s">
        <v>80</v>
      </c>
      <c r="D150" t="s">
        <v>103</v>
      </c>
      <c r="E150" t="s">
        <v>23</v>
      </c>
      <c r="F150" t="s">
        <v>68</v>
      </c>
      <c r="G150">
        <v>137538</v>
      </c>
    </row>
    <row r="151" spans="1:7" ht="15" x14ac:dyDescent="0.25">
      <c r="A151" t="s">
        <v>102</v>
      </c>
      <c r="B151" t="s">
        <v>42</v>
      </c>
      <c r="C151" t="s">
        <v>80</v>
      </c>
      <c r="D151" t="s">
        <v>103</v>
      </c>
      <c r="E151" t="s">
        <v>25</v>
      </c>
      <c r="F151" t="s">
        <v>70</v>
      </c>
      <c r="G151">
        <v>31944889</v>
      </c>
    </row>
    <row r="152" spans="1:7" ht="15" x14ac:dyDescent="0.25">
      <c r="A152" t="s">
        <v>102</v>
      </c>
      <c r="B152" t="s">
        <v>42</v>
      </c>
      <c r="C152" t="s">
        <v>80</v>
      </c>
      <c r="D152" t="s">
        <v>103</v>
      </c>
      <c r="E152" t="s">
        <v>34</v>
      </c>
      <c r="F152" t="s">
        <v>74</v>
      </c>
      <c r="G152">
        <v>7828332</v>
      </c>
    </row>
    <row r="153" spans="1:7" ht="15" x14ac:dyDescent="0.25">
      <c r="A153" t="s">
        <v>102</v>
      </c>
      <c r="B153" t="s">
        <v>42</v>
      </c>
      <c r="C153" t="s">
        <v>80</v>
      </c>
      <c r="D153" t="s">
        <v>103</v>
      </c>
      <c r="E153" t="s">
        <v>35</v>
      </c>
      <c r="F153" t="s">
        <v>75</v>
      </c>
      <c r="G153">
        <v>75502334</v>
      </c>
    </row>
    <row r="154" spans="1:7" ht="15" x14ac:dyDescent="0.25">
      <c r="A154" t="s">
        <v>102</v>
      </c>
      <c r="B154" t="s">
        <v>42</v>
      </c>
      <c r="C154" t="s">
        <v>80</v>
      </c>
      <c r="D154" t="s">
        <v>103</v>
      </c>
      <c r="E154" t="s">
        <v>38</v>
      </c>
      <c r="F154" t="s">
        <v>77</v>
      </c>
      <c r="G154">
        <v>12320417</v>
      </c>
    </row>
    <row r="155" spans="1:7" ht="15" x14ac:dyDescent="0.25">
      <c r="A155" t="s">
        <v>102</v>
      </c>
      <c r="B155" t="s">
        <v>42</v>
      </c>
      <c r="C155" t="s">
        <v>80</v>
      </c>
      <c r="D155" t="s">
        <v>103</v>
      </c>
      <c r="E155" t="s">
        <v>39</v>
      </c>
      <c r="F155" t="s">
        <v>78</v>
      </c>
      <c r="G155">
        <v>16682990</v>
      </c>
    </row>
    <row r="156" spans="1:7" ht="15" x14ac:dyDescent="0.25">
      <c r="A156" t="s">
        <v>102</v>
      </c>
      <c r="B156" t="s">
        <v>42</v>
      </c>
      <c r="C156" t="s">
        <v>80</v>
      </c>
      <c r="D156" t="s">
        <v>103</v>
      </c>
      <c r="E156" t="s">
        <v>40</v>
      </c>
      <c r="F156" t="s">
        <v>79</v>
      </c>
      <c r="G156">
        <v>12504596</v>
      </c>
    </row>
    <row r="157" spans="1:7" ht="15" x14ac:dyDescent="0.25">
      <c r="A157" t="s">
        <v>102</v>
      </c>
      <c r="B157" t="s">
        <v>42</v>
      </c>
      <c r="C157" t="s">
        <v>80</v>
      </c>
      <c r="D157" t="s">
        <v>103</v>
      </c>
      <c r="E157" t="s">
        <v>41</v>
      </c>
      <c r="F157" t="s">
        <v>83</v>
      </c>
      <c r="G157">
        <v>87702</v>
      </c>
    </row>
    <row r="158" spans="1:7" ht="15" x14ac:dyDescent="0.25">
      <c r="A158" t="s">
        <v>102</v>
      </c>
      <c r="B158" t="s">
        <v>42</v>
      </c>
      <c r="C158" t="s">
        <v>80</v>
      </c>
      <c r="D158" t="s">
        <v>103</v>
      </c>
      <c r="E158" t="s">
        <v>43</v>
      </c>
      <c r="F158" t="s">
        <v>81</v>
      </c>
      <c r="G158">
        <v>9238272</v>
      </c>
    </row>
    <row r="159" spans="1:7" ht="15" x14ac:dyDescent="0.25">
      <c r="A159" t="s">
        <v>102</v>
      </c>
      <c r="B159" t="s">
        <v>42</v>
      </c>
      <c r="C159" t="s">
        <v>80</v>
      </c>
      <c r="D159" t="s">
        <v>103</v>
      </c>
      <c r="E159" t="s">
        <v>44</v>
      </c>
      <c r="F159" t="s">
        <v>82</v>
      </c>
      <c r="G159">
        <v>3035798</v>
      </c>
    </row>
    <row r="160" spans="1:7" ht="15" x14ac:dyDescent="0.25">
      <c r="A160"/>
      <c r="B160"/>
      <c r="C160"/>
      <c r="D160"/>
      <c r="E160"/>
      <c r="F160"/>
      <c r="G160"/>
    </row>
    <row r="161" spans="1:7" ht="15" x14ac:dyDescent="0.25">
      <c r="A161"/>
      <c r="B161"/>
      <c r="C161"/>
      <c r="D161"/>
      <c r="E161"/>
      <c r="F161"/>
      <c r="G161"/>
    </row>
    <row r="162" spans="1:7" ht="15" x14ac:dyDescent="0.25">
      <c r="A162"/>
      <c r="B162"/>
      <c r="C162"/>
      <c r="D162"/>
      <c r="E162"/>
      <c r="F162"/>
      <c r="G162"/>
    </row>
    <row r="163" spans="1:7" ht="15" x14ac:dyDescent="0.25">
      <c r="A163"/>
      <c r="B163"/>
      <c r="C163"/>
      <c r="D163"/>
      <c r="E163"/>
      <c r="F163"/>
      <c r="G163"/>
    </row>
    <row r="164" spans="1:7" ht="15" x14ac:dyDescent="0.25">
      <c r="A164"/>
      <c r="B164"/>
      <c r="C164"/>
      <c r="D164"/>
      <c r="E164"/>
      <c r="F164"/>
      <c r="G164"/>
    </row>
    <row r="165" spans="1:7" ht="15" x14ac:dyDescent="0.25">
      <c r="A165"/>
      <c r="B165"/>
      <c r="C165"/>
      <c r="D165"/>
      <c r="E165"/>
      <c r="F165"/>
      <c r="G165"/>
    </row>
    <row r="166" spans="1:7" ht="15" x14ac:dyDescent="0.25">
      <c r="A166"/>
      <c r="B166"/>
      <c r="C166"/>
      <c r="D166"/>
      <c r="E166"/>
      <c r="F166"/>
      <c r="G166"/>
    </row>
    <row r="167" spans="1:7" ht="15" x14ac:dyDescent="0.25">
      <c r="A167"/>
      <c r="B167"/>
      <c r="C167"/>
      <c r="D167"/>
      <c r="E167"/>
      <c r="F167"/>
      <c r="G167"/>
    </row>
    <row r="168" spans="1:7" ht="15" x14ac:dyDescent="0.25">
      <c r="A168"/>
      <c r="B168"/>
      <c r="C168"/>
      <c r="D168"/>
      <c r="E168"/>
      <c r="F168"/>
      <c r="G168"/>
    </row>
    <row r="169" spans="1:7" ht="15" x14ac:dyDescent="0.25">
      <c r="A169"/>
      <c r="B169"/>
      <c r="C169"/>
      <c r="D169"/>
      <c r="E169"/>
      <c r="F169"/>
      <c r="G169"/>
    </row>
    <row r="170" spans="1:7" ht="15" x14ac:dyDescent="0.25">
      <c r="A170"/>
      <c r="B170"/>
      <c r="C170"/>
      <c r="D170"/>
      <c r="E170"/>
      <c r="F170"/>
      <c r="G170"/>
    </row>
    <row r="171" spans="1:7" ht="15" x14ac:dyDescent="0.25">
      <c r="A171"/>
      <c r="B171"/>
      <c r="C171"/>
      <c r="D171"/>
      <c r="E171"/>
      <c r="F171"/>
      <c r="G171"/>
    </row>
    <row r="172" spans="1:7" ht="15" x14ac:dyDescent="0.25">
      <c r="A172"/>
      <c r="B172"/>
      <c r="C172"/>
      <c r="D172"/>
      <c r="E172"/>
      <c r="F172"/>
      <c r="G172"/>
    </row>
    <row r="173" spans="1:7" ht="15" x14ac:dyDescent="0.25">
      <c r="A173"/>
      <c r="B173"/>
      <c r="C173"/>
      <c r="D173"/>
      <c r="E173"/>
      <c r="F173"/>
      <c r="G173"/>
    </row>
    <row r="174" spans="1:7" ht="15" x14ac:dyDescent="0.25">
      <c r="A174"/>
      <c r="B174"/>
      <c r="C174"/>
      <c r="D174"/>
      <c r="E174"/>
      <c r="F174"/>
      <c r="G174"/>
    </row>
    <row r="175" spans="1:7" ht="15" x14ac:dyDescent="0.25">
      <c r="A175"/>
      <c r="B175"/>
      <c r="C175"/>
      <c r="D175"/>
      <c r="E175"/>
      <c r="F175"/>
      <c r="G175"/>
    </row>
    <row r="176" spans="1:7" ht="15" x14ac:dyDescent="0.25">
      <c r="A176"/>
      <c r="B176"/>
      <c r="C176"/>
      <c r="D176"/>
      <c r="E176"/>
      <c r="F176"/>
      <c r="G176"/>
    </row>
    <row r="177" spans="1:7" ht="15" x14ac:dyDescent="0.25">
      <c r="A177"/>
      <c r="B177"/>
      <c r="C177"/>
      <c r="D177"/>
      <c r="E177"/>
      <c r="F177"/>
      <c r="G177"/>
    </row>
    <row r="178" spans="1:7" ht="15" x14ac:dyDescent="0.25">
      <c r="A178"/>
      <c r="B178"/>
      <c r="C178"/>
      <c r="D178"/>
      <c r="E178"/>
      <c r="F178"/>
      <c r="G178"/>
    </row>
    <row r="179" spans="1:7" ht="15" x14ac:dyDescent="0.25">
      <c r="A179"/>
      <c r="B179"/>
      <c r="C179"/>
      <c r="D179"/>
      <c r="E179"/>
      <c r="F179"/>
      <c r="G179"/>
    </row>
    <row r="180" spans="1:7" ht="15" x14ac:dyDescent="0.25">
      <c r="A180"/>
      <c r="B180"/>
      <c r="C180"/>
      <c r="D180"/>
      <c r="E180"/>
      <c r="F180"/>
      <c r="G180"/>
    </row>
    <row r="181" spans="1:7" ht="15" x14ac:dyDescent="0.25">
      <c r="A181"/>
      <c r="B181"/>
      <c r="C181"/>
      <c r="D181"/>
      <c r="E181"/>
      <c r="F181"/>
      <c r="G181"/>
    </row>
    <row r="182" spans="1:7" ht="15" x14ac:dyDescent="0.25">
      <c r="A182"/>
      <c r="B182"/>
      <c r="C182"/>
      <c r="D182"/>
      <c r="E182"/>
      <c r="F182"/>
      <c r="G182"/>
    </row>
    <row r="183" spans="1:7" ht="15" x14ac:dyDescent="0.25">
      <c r="A183"/>
      <c r="B183"/>
      <c r="C183"/>
      <c r="D183"/>
      <c r="E183"/>
      <c r="F183"/>
      <c r="G183"/>
    </row>
    <row r="184" spans="1:7" ht="15" x14ac:dyDescent="0.25">
      <c r="A184"/>
      <c r="B184"/>
      <c r="C184"/>
      <c r="D184"/>
      <c r="E184"/>
      <c r="F184"/>
      <c r="G184"/>
    </row>
    <row r="185" spans="1:7" ht="15" x14ac:dyDescent="0.25">
      <c r="A185"/>
      <c r="B185"/>
      <c r="C185"/>
      <c r="D185"/>
      <c r="E185"/>
      <c r="F185"/>
      <c r="G185"/>
    </row>
    <row r="186" spans="1:7" ht="15" x14ac:dyDescent="0.25">
      <c r="A186"/>
      <c r="B186"/>
      <c r="C186"/>
      <c r="D186"/>
      <c r="E186"/>
      <c r="F186"/>
      <c r="G186"/>
    </row>
    <row r="187" spans="1:7" ht="15" x14ac:dyDescent="0.25">
      <c r="A187"/>
      <c r="B187"/>
      <c r="C187"/>
      <c r="D187"/>
      <c r="E187"/>
      <c r="F187"/>
      <c r="G187"/>
    </row>
    <row r="188" spans="1:7" ht="15" x14ac:dyDescent="0.25">
      <c r="A188"/>
      <c r="B188"/>
      <c r="C188"/>
      <c r="D188"/>
      <c r="E188"/>
      <c r="F188"/>
      <c r="G188"/>
    </row>
    <row r="189" spans="1:7" ht="15" x14ac:dyDescent="0.25">
      <c r="A189"/>
      <c r="B189"/>
      <c r="C189"/>
      <c r="D189"/>
      <c r="E189"/>
      <c r="F189"/>
      <c r="G189"/>
    </row>
    <row r="190" spans="1:7" ht="15" x14ac:dyDescent="0.25">
      <c r="A190"/>
      <c r="B190"/>
      <c r="C190"/>
      <c r="D190"/>
      <c r="E190"/>
      <c r="F190"/>
      <c r="G190"/>
    </row>
    <row r="191" spans="1:7" ht="15" x14ac:dyDescent="0.25">
      <c r="A191"/>
      <c r="B191"/>
      <c r="C191"/>
      <c r="D191"/>
      <c r="E191"/>
      <c r="F191"/>
      <c r="G191"/>
    </row>
    <row r="192" spans="1:7" ht="15" x14ac:dyDescent="0.25">
      <c r="A192"/>
      <c r="B192"/>
      <c r="C192"/>
      <c r="D192"/>
      <c r="E192"/>
      <c r="F192"/>
      <c r="G192"/>
    </row>
    <row r="193" spans="1:7" ht="15" x14ac:dyDescent="0.25">
      <c r="A193"/>
      <c r="B193"/>
      <c r="C193"/>
      <c r="D193"/>
      <c r="E193"/>
      <c r="F193"/>
      <c r="G193"/>
    </row>
    <row r="194" spans="1:7" ht="15" x14ac:dyDescent="0.25">
      <c r="A194"/>
      <c r="B194"/>
      <c r="C194"/>
      <c r="D194"/>
      <c r="E194"/>
      <c r="F194"/>
      <c r="G194"/>
    </row>
    <row r="195" spans="1:7" ht="15" x14ac:dyDescent="0.25">
      <c r="A195"/>
      <c r="B195"/>
      <c r="C195"/>
      <c r="D195"/>
      <c r="E195"/>
      <c r="F195"/>
      <c r="G195"/>
    </row>
    <row r="196" spans="1:7" ht="15" x14ac:dyDescent="0.25">
      <c r="A196"/>
      <c r="B196"/>
      <c r="C196"/>
      <c r="D196"/>
      <c r="E196"/>
      <c r="F196"/>
      <c r="G196"/>
    </row>
    <row r="197" spans="1:7" ht="15" x14ac:dyDescent="0.25">
      <c r="A197"/>
      <c r="B197"/>
      <c r="C197"/>
      <c r="D197"/>
      <c r="E197"/>
      <c r="F197"/>
      <c r="G197"/>
    </row>
    <row r="198" spans="1:7" ht="15" x14ac:dyDescent="0.25">
      <c r="A198"/>
      <c r="B198"/>
      <c r="C198"/>
      <c r="D198"/>
      <c r="E198"/>
      <c r="F198"/>
      <c r="G198"/>
    </row>
    <row r="199" spans="1:7" ht="15" x14ac:dyDescent="0.25">
      <c r="A199"/>
      <c r="B199"/>
      <c r="C199"/>
      <c r="D199"/>
      <c r="E199"/>
      <c r="F199"/>
      <c r="G199"/>
    </row>
    <row r="200" spans="1:7" ht="15" x14ac:dyDescent="0.25">
      <c r="A200"/>
      <c r="B200"/>
      <c r="C200"/>
      <c r="D200"/>
      <c r="E200"/>
      <c r="F200"/>
      <c r="G200"/>
    </row>
    <row r="201" spans="1:7" ht="15" x14ac:dyDescent="0.25">
      <c r="A201"/>
      <c r="B201"/>
      <c r="C201"/>
      <c r="D201"/>
      <c r="E201"/>
      <c r="F201"/>
      <c r="G201"/>
    </row>
    <row r="202" spans="1:7" ht="15" x14ac:dyDescent="0.25">
      <c r="A202"/>
      <c r="B202"/>
      <c r="C202"/>
      <c r="D202"/>
      <c r="E202"/>
      <c r="F202"/>
      <c r="G202"/>
    </row>
    <row r="203" spans="1:7" ht="15" x14ac:dyDescent="0.25">
      <c r="A203"/>
      <c r="B203"/>
      <c r="C203"/>
      <c r="D203"/>
      <c r="E203"/>
      <c r="F203"/>
      <c r="G203"/>
    </row>
    <row r="204" spans="1:7" ht="15" x14ac:dyDescent="0.25">
      <c r="A204"/>
      <c r="B204"/>
      <c r="C204"/>
      <c r="D204"/>
      <c r="E204"/>
      <c r="F204"/>
      <c r="G204"/>
    </row>
    <row r="205" spans="1:7" ht="15" x14ac:dyDescent="0.25">
      <c r="A205"/>
      <c r="B205"/>
      <c r="C205"/>
      <c r="D205"/>
      <c r="E205"/>
      <c r="F205"/>
      <c r="G205"/>
    </row>
    <row r="206" spans="1:7" ht="15" x14ac:dyDescent="0.25">
      <c r="A206"/>
      <c r="B206"/>
      <c r="C206"/>
      <c r="D206"/>
      <c r="E206"/>
      <c r="F206"/>
      <c r="G206"/>
    </row>
    <row r="207" spans="1:7" ht="15" x14ac:dyDescent="0.25">
      <c r="A207"/>
      <c r="B207"/>
      <c r="C207"/>
      <c r="D207"/>
      <c r="E207"/>
      <c r="F207"/>
      <c r="G207"/>
    </row>
    <row r="208" spans="1:7" ht="15" x14ac:dyDescent="0.25">
      <c r="A208"/>
      <c r="B208"/>
      <c r="C208"/>
      <c r="D208"/>
      <c r="E208"/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4D489-6815-4986-AA80-8A938A64DBBD}">
  <sheetPr>
    <tabColor theme="0"/>
  </sheetPr>
  <dimension ref="B2:M48"/>
  <sheetViews>
    <sheetView showGridLines="0" zoomScale="85" zoomScaleNormal="85" workbookViewId="0"/>
  </sheetViews>
  <sheetFormatPr baseColWidth="10" defaultRowHeight="12.75" x14ac:dyDescent="0.2"/>
  <cols>
    <col min="1" max="1" width="11.42578125" style="45"/>
    <col min="2" max="2" width="3.42578125" style="45" customWidth="1"/>
    <col min="3" max="3" width="16.28515625" style="45" bestFit="1" customWidth="1"/>
    <col min="4" max="4" width="49.5703125" style="45" bestFit="1" customWidth="1"/>
    <col min="5" max="5" width="12" style="45" customWidth="1"/>
    <col min="6" max="6" width="16" style="45" customWidth="1"/>
    <col min="7" max="7" width="18.28515625" style="45" customWidth="1"/>
    <col min="8" max="8" width="12.140625" style="45" bestFit="1" customWidth="1"/>
    <col min="9" max="9" width="12.85546875" style="45" customWidth="1"/>
    <col min="10" max="10" width="13.7109375" style="45" customWidth="1"/>
    <col min="11" max="11" width="14.140625" style="45" customWidth="1"/>
    <col min="12" max="13" width="11.5703125" style="45" bestFit="1" customWidth="1"/>
    <col min="14" max="14" width="13.28515625" style="45" customWidth="1"/>
    <col min="15" max="15" width="12.7109375" style="45" customWidth="1"/>
    <col min="16" max="16384" width="11.42578125" style="45"/>
  </cols>
  <sheetData>
    <row r="2" spans="2:13" x14ac:dyDescent="0.2">
      <c r="B2" s="62" t="s">
        <v>120</v>
      </c>
      <c r="D2" s="62"/>
      <c r="E2" s="125" t="s">
        <v>119</v>
      </c>
      <c r="F2" s="125"/>
      <c r="G2" s="64" t="s">
        <v>136</v>
      </c>
    </row>
    <row r="3" spans="2:13" x14ac:dyDescent="0.2">
      <c r="B3" s="126">
        <v>45566</v>
      </c>
      <c r="C3" s="126"/>
      <c r="D3" s="63"/>
    </row>
    <row r="4" spans="2:13" x14ac:dyDescent="0.2">
      <c r="B4" s="62"/>
    </row>
    <row r="6" spans="2:13" ht="15" x14ac:dyDescent="0.25">
      <c r="B6" s="127" t="s">
        <v>118</v>
      </c>
      <c r="C6" s="127" t="s">
        <v>117</v>
      </c>
      <c r="D6" s="127" t="s">
        <v>116</v>
      </c>
      <c r="E6" s="127" t="s">
        <v>115</v>
      </c>
      <c r="F6" s="61" t="s">
        <v>114</v>
      </c>
      <c r="G6" s="61" t="s">
        <v>113</v>
      </c>
      <c r="H6" s="61" t="s">
        <v>112</v>
      </c>
      <c r="L6" s="50"/>
    </row>
    <row r="7" spans="2:13" ht="15" x14ac:dyDescent="0.25">
      <c r="B7" s="127"/>
      <c r="C7" s="127"/>
      <c r="D7" s="127"/>
      <c r="E7" s="127"/>
      <c r="F7" s="61" t="s">
        <v>111</v>
      </c>
      <c r="G7" s="61" t="s">
        <v>111</v>
      </c>
      <c r="H7" s="61" t="s">
        <v>8</v>
      </c>
      <c r="L7" s="50"/>
      <c r="M7" s="60"/>
    </row>
    <row r="8" spans="2:13" ht="15" x14ac:dyDescent="0.25">
      <c r="B8" s="58">
        <v>1</v>
      </c>
      <c r="C8" s="58" t="s">
        <v>10</v>
      </c>
      <c r="D8" s="59" t="s">
        <v>135</v>
      </c>
      <c r="E8" s="58" t="s">
        <v>10</v>
      </c>
      <c r="F8" s="57">
        <v>1369056</v>
      </c>
      <c r="G8" s="57">
        <v>3036897</v>
      </c>
      <c r="H8" s="57">
        <v>0</v>
      </c>
      <c r="I8" s="52"/>
      <c r="J8" s="52"/>
      <c r="K8" s="50"/>
      <c r="L8" s="50"/>
    </row>
    <row r="9" spans="2:13" ht="15" x14ac:dyDescent="0.25">
      <c r="B9" s="58">
        <v>2</v>
      </c>
      <c r="C9" s="58" t="s">
        <v>16</v>
      </c>
      <c r="D9" s="59" t="s">
        <v>135</v>
      </c>
      <c r="E9" s="58" t="s">
        <v>16</v>
      </c>
      <c r="F9" s="57">
        <v>736444</v>
      </c>
      <c r="G9" s="57">
        <v>2954329</v>
      </c>
      <c r="H9" s="57">
        <v>0</v>
      </c>
      <c r="I9" s="52"/>
      <c r="J9" s="52"/>
      <c r="K9" s="50"/>
      <c r="L9" s="50"/>
    </row>
    <row r="10" spans="2:13" ht="15" x14ac:dyDescent="0.25">
      <c r="B10" s="58">
        <v>3</v>
      </c>
      <c r="C10" s="58" t="s">
        <v>27</v>
      </c>
      <c r="D10" s="59" t="s">
        <v>135</v>
      </c>
      <c r="E10" s="58" t="s">
        <v>27</v>
      </c>
      <c r="F10" s="57">
        <v>1805683.4</v>
      </c>
      <c r="G10" s="57">
        <v>5971293.3500100002</v>
      </c>
      <c r="H10" s="57">
        <v>174451.19257413119</v>
      </c>
      <c r="I10" s="52"/>
      <c r="J10" s="52"/>
      <c r="K10" s="50"/>
      <c r="L10" s="50"/>
    </row>
    <row r="11" spans="2:13" ht="15" x14ac:dyDescent="0.25">
      <c r="B11" s="58">
        <v>4</v>
      </c>
      <c r="C11" s="58" t="s">
        <v>34</v>
      </c>
      <c r="D11" s="59" t="s">
        <v>135</v>
      </c>
      <c r="E11" s="58" t="s">
        <v>34</v>
      </c>
      <c r="F11" s="57">
        <v>407838</v>
      </c>
      <c r="G11" s="57">
        <v>1342341</v>
      </c>
      <c r="H11" s="57">
        <v>57058.862775363123</v>
      </c>
      <c r="I11" s="52"/>
      <c r="J11" s="52"/>
      <c r="K11" s="50"/>
      <c r="L11" s="50"/>
    </row>
    <row r="12" spans="2:13" ht="15" x14ac:dyDescent="0.25">
      <c r="B12" s="58">
        <v>5</v>
      </c>
      <c r="C12" s="58" t="s">
        <v>12</v>
      </c>
      <c r="D12" s="59" t="s">
        <v>135</v>
      </c>
      <c r="E12" s="58" t="s">
        <v>12</v>
      </c>
      <c r="F12" s="57">
        <v>129685529.675</v>
      </c>
      <c r="G12" s="57">
        <v>463007299.80900002</v>
      </c>
      <c r="H12" s="57">
        <v>11564425.825600339</v>
      </c>
      <c r="I12" s="52"/>
      <c r="J12" s="52"/>
      <c r="K12" s="50"/>
      <c r="L12" s="50"/>
    </row>
    <row r="13" spans="2:13" ht="15" x14ac:dyDescent="0.25">
      <c r="B13" s="58">
        <v>6</v>
      </c>
      <c r="C13" s="58" t="s">
        <v>29</v>
      </c>
      <c r="D13" s="59" t="s">
        <v>135</v>
      </c>
      <c r="E13" s="58" t="s">
        <v>110</v>
      </c>
      <c r="F13" s="57">
        <v>233278</v>
      </c>
      <c r="G13" s="57">
        <v>913327.00399999996</v>
      </c>
      <c r="H13" s="57">
        <v>28004.64854368076</v>
      </c>
      <c r="I13" s="52"/>
      <c r="J13" s="52"/>
      <c r="K13" s="50"/>
      <c r="L13" s="50"/>
    </row>
    <row r="14" spans="2:13" ht="15" x14ac:dyDescent="0.25">
      <c r="B14" s="58">
        <v>7</v>
      </c>
      <c r="C14" s="58" t="s">
        <v>33</v>
      </c>
      <c r="D14" s="59" t="s">
        <v>135</v>
      </c>
      <c r="E14" s="58" t="s">
        <v>33</v>
      </c>
      <c r="F14" s="57">
        <v>10262916.464</v>
      </c>
      <c r="G14" s="57">
        <v>20625852.081</v>
      </c>
      <c r="H14" s="57">
        <v>540251.05055856681</v>
      </c>
      <c r="I14" s="52"/>
      <c r="J14" s="52"/>
      <c r="K14" s="50"/>
      <c r="L14" s="50"/>
    </row>
    <row r="15" spans="2:13" ht="15" x14ac:dyDescent="0.25">
      <c r="B15" s="58">
        <v>8</v>
      </c>
      <c r="C15" s="58" t="s">
        <v>109</v>
      </c>
      <c r="D15" s="59" t="s">
        <v>135</v>
      </c>
      <c r="E15" s="58" t="s">
        <v>109</v>
      </c>
      <c r="F15" s="57">
        <v>0</v>
      </c>
      <c r="G15" s="57">
        <v>0</v>
      </c>
      <c r="H15" s="57">
        <v>0</v>
      </c>
      <c r="I15" s="52"/>
      <c r="J15" s="52"/>
      <c r="K15" s="50"/>
      <c r="L15" s="50"/>
    </row>
    <row r="16" spans="2:13" ht="15" x14ac:dyDescent="0.25">
      <c r="B16" s="58">
        <v>9</v>
      </c>
      <c r="C16" s="58" t="s">
        <v>108</v>
      </c>
      <c r="D16" s="59" t="s">
        <v>135</v>
      </c>
      <c r="E16" s="58" t="s">
        <v>108</v>
      </c>
      <c r="F16" s="57">
        <v>0</v>
      </c>
      <c r="G16" s="57">
        <v>0</v>
      </c>
      <c r="H16" s="57">
        <v>0</v>
      </c>
      <c r="I16" s="52"/>
      <c r="J16" s="52"/>
      <c r="K16" s="50"/>
      <c r="L16" s="50"/>
    </row>
    <row r="17" spans="2:12" ht="15" x14ac:dyDescent="0.25">
      <c r="B17" s="58">
        <v>10</v>
      </c>
      <c r="C17" s="58" t="s">
        <v>13</v>
      </c>
      <c r="D17" s="59" t="s">
        <v>135</v>
      </c>
      <c r="E17" s="58" t="s">
        <v>13</v>
      </c>
      <c r="F17" s="57">
        <v>99612592.739000008</v>
      </c>
      <c r="G17" s="57">
        <v>577285819.03400004</v>
      </c>
      <c r="H17" s="57">
        <v>13913989.34293922</v>
      </c>
      <c r="I17" s="52"/>
      <c r="J17" s="52"/>
      <c r="K17" s="50"/>
      <c r="L17" s="50"/>
    </row>
    <row r="18" spans="2:12" ht="15" x14ac:dyDescent="0.25">
      <c r="B18" s="58">
        <v>11</v>
      </c>
      <c r="C18" s="58" t="s">
        <v>37</v>
      </c>
      <c r="D18" s="59" t="s">
        <v>135</v>
      </c>
      <c r="E18" s="58" t="s">
        <v>37</v>
      </c>
      <c r="F18" s="57">
        <v>124916</v>
      </c>
      <c r="G18" s="57">
        <v>2350374.5529999998</v>
      </c>
      <c r="H18" s="57">
        <v>74125.428672087408</v>
      </c>
      <c r="I18" s="52"/>
      <c r="J18" s="52"/>
      <c r="K18" s="50"/>
      <c r="L18" s="50"/>
    </row>
    <row r="19" spans="2:12" ht="15" x14ac:dyDescent="0.25">
      <c r="B19" s="58">
        <v>12</v>
      </c>
      <c r="C19" s="58" t="s">
        <v>107</v>
      </c>
      <c r="D19" s="59" t="s">
        <v>135</v>
      </c>
      <c r="E19" s="58" t="s">
        <v>107</v>
      </c>
      <c r="F19" s="57">
        <v>32570199.870000001</v>
      </c>
      <c r="G19" s="57">
        <v>70264417.353</v>
      </c>
      <c r="H19" s="57">
        <v>2142911.6515440401</v>
      </c>
      <c r="I19" s="52"/>
      <c r="J19" s="52"/>
      <c r="K19" s="50"/>
      <c r="L19" s="50"/>
    </row>
    <row r="20" spans="2:12" ht="15" x14ac:dyDescent="0.25">
      <c r="B20" s="58">
        <v>13</v>
      </c>
      <c r="C20" s="58" t="s">
        <v>106</v>
      </c>
      <c r="D20" s="59" t="s">
        <v>135</v>
      </c>
      <c r="E20" s="58" t="s">
        <v>106</v>
      </c>
      <c r="F20" s="57">
        <v>3244522.9169999999</v>
      </c>
      <c r="G20" s="57">
        <v>18023899.783</v>
      </c>
      <c r="H20" s="57">
        <v>471878.65334115899</v>
      </c>
      <c r="I20" s="52"/>
      <c r="J20" s="52"/>
      <c r="K20" s="50"/>
      <c r="L20" s="50"/>
    </row>
    <row r="21" spans="2:12" ht="15" x14ac:dyDescent="0.25">
      <c r="B21" s="58">
        <v>14</v>
      </c>
      <c r="C21" s="58" t="s">
        <v>105</v>
      </c>
      <c r="D21" s="59" t="s">
        <v>135</v>
      </c>
      <c r="E21" s="58" t="s">
        <v>105</v>
      </c>
      <c r="F21" s="57">
        <v>0</v>
      </c>
      <c r="G21" s="57">
        <v>0</v>
      </c>
      <c r="H21" s="57">
        <v>0</v>
      </c>
      <c r="I21" s="52"/>
      <c r="J21" s="52"/>
      <c r="K21" s="50"/>
      <c r="L21" s="50"/>
    </row>
    <row r="22" spans="2:12" ht="15" x14ac:dyDescent="0.25">
      <c r="B22" s="58">
        <v>15</v>
      </c>
      <c r="C22" s="58" t="s">
        <v>22</v>
      </c>
      <c r="D22" s="59" t="s">
        <v>135</v>
      </c>
      <c r="E22" s="58" t="s">
        <v>22</v>
      </c>
      <c r="F22" s="57">
        <v>1337677</v>
      </c>
      <c r="G22" s="57">
        <v>7924621</v>
      </c>
      <c r="H22" s="57">
        <v>286462.70154222328</v>
      </c>
      <c r="I22" s="52"/>
      <c r="J22" s="52"/>
      <c r="K22" s="50"/>
      <c r="L22" s="50"/>
    </row>
    <row r="23" spans="2:12" ht="15" x14ac:dyDescent="0.25">
      <c r="B23" s="58">
        <v>16</v>
      </c>
      <c r="C23" s="58" t="s">
        <v>21</v>
      </c>
      <c r="D23" s="59" t="s">
        <v>135</v>
      </c>
      <c r="E23" s="58" t="s">
        <v>21</v>
      </c>
      <c r="F23" s="57">
        <v>4035448</v>
      </c>
      <c r="G23" s="57">
        <v>13663454</v>
      </c>
      <c r="H23" s="57">
        <v>551770.50644484721</v>
      </c>
      <c r="I23" s="52"/>
      <c r="J23" s="52"/>
      <c r="K23" s="50"/>
      <c r="L23" s="50"/>
    </row>
    <row r="24" spans="2:12" ht="15" x14ac:dyDescent="0.25">
      <c r="B24" s="58">
        <v>17</v>
      </c>
      <c r="C24" s="58" t="s">
        <v>28</v>
      </c>
      <c r="D24" s="59" t="s">
        <v>135</v>
      </c>
      <c r="E24" s="58" t="s">
        <v>28</v>
      </c>
      <c r="F24" s="57">
        <v>1680286</v>
      </c>
      <c r="G24" s="57">
        <v>13303288</v>
      </c>
      <c r="H24" s="57">
        <v>389129.12521386403</v>
      </c>
      <c r="I24" s="52"/>
      <c r="J24" s="52"/>
      <c r="K24" s="50"/>
      <c r="L24" s="50"/>
    </row>
    <row r="25" spans="2:12" ht="15" x14ac:dyDescent="0.25">
      <c r="B25" s="58">
        <v>18</v>
      </c>
      <c r="C25" s="58" t="s">
        <v>20</v>
      </c>
      <c r="D25" s="59" t="s">
        <v>135</v>
      </c>
      <c r="E25" s="58" t="s">
        <v>20</v>
      </c>
      <c r="F25" s="57">
        <v>422574</v>
      </c>
      <c r="G25" s="57">
        <v>2515825</v>
      </c>
      <c r="H25" s="57">
        <v>96697.916259014004</v>
      </c>
      <c r="I25" s="52"/>
      <c r="J25" s="52"/>
      <c r="K25" s="50"/>
      <c r="L25" s="50"/>
    </row>
    <row r="26" spans="2:12" ht="15" x14ac:dyDescent="0.25">
      <c r="B26" s="58">
        <v>19</v>
      </c>
      <c r="C26" s="58" t="s">
        <v>43</v>
      </c>
      <c r="D26" s="59" t="s">
        <v>135</v>
      </c>
      <c r="E26" s="58" t="s">
        <v>43</v>
      </c>
      <c r="F26" s="57">
        <v>1033516</v>
      </c>
      <c r="G26" s="57">
        <v>1899168</v>
      </c>
      <c r="H26" s="57">
        <v>90749.673319441921</v>
      </c>
      <c r="I26" s="52"/>
      <c r="J26" s="52"/>
      <c r="K26" s="50"/>
      <c r="L26" s="50"/>
    </row>
    <row r="27" spans="2:12" ht="15" x14ac:dyDescent="0.25">
      <c r="B27" s="58">
        <v>20</v>
      </c>
      <c r="C27" s="58" t="s">
        <v>18</v>
      </c>
      <c r="D27" s="59" t="s">
        <v>135</v>
      </c>
      <c r="E27" s="58" t="s">
        <v>18</v>
      </c>
      <c r="F27" s="57">
        <v>1232712</v>
      </c>
      <c r="G27" s="57">
        <v>6789432</v>
      </c>
      <c r="H27" s="57">
        <v>247445.15622188541</v>
      </c>
      <c r="I27" s="52"/>
      <c r="J27" s="52"/>
      <c r="K27" s="50"/>
      <c r="L27" s="50"/>
    </row>
    <row r="28" spans="2:12" ht="15" x14ac:dyDescent="0.25">
      <c r="B28" s="58">
        <v>21</v>
      </c>
      <c r="C28" s="58" t="s">
        <v>35</v>
      </c>
      <c r="D28" s="59" t="s">
        <v>135</v>
      </c>
      <c r="E28" s="58" t="s">
        <v>35</v>
      </c>
      <c r="F28" s="57">
        <v>18146722.66</v>
      </c>
      <c r="G28" s="57">
        <v>65344272.25</v>
      </c>
      <c r="H28" s="57">
        <v>2192855.2209404241</v>
      </c>
      <c r="I28" s="52"/>
      <c r="J28" s="52"/>
      <c r="K28" s="50"/>
      <c r="L28" s="50"/>
    </row>
    <row r="29" spans="2:12" ht="15" x14ac:dyDescent="0.25">
      <c r="B29" s="58">
        <v>22</v>
      </c>
      <c r="C29" s="58" t="s">
        <v>38</v>
      </c>
      <c r="D29" s="59" t="s">
        <v>135</v>
      </c>
      <c r="E29" s="58" t="s">
        <v>38</v>
      </c>
      <c r="F29" s="57">
        <v>7623977.3300000001</v>
      </c>
      <c r="G29" s="57">
        <v>6686820.3399999999</v>
      </c>
      <c r="H29" s="57">
        <v>415379.77679174038</v>
      </c>
      <c r="I29" s="52"/>
      <c r="J29" s="52"/>
      <c r="K29" s="50"/>
      <c r="L29" s="50"/>
    </row>
    <row r="30" spans="2:12" ht="15" x14ac:dyDescent="0.25">
      <c r="B30" s="58">
        <v>23</v>
      </c>
      <c r="C30" s="58" t="s">
        <v>42</v>
      </c>
      <c r="D30" s="59" t="s">
        <v>135</v>
      </c>
      <c r="E30" s="58" t="s">
        <v>42</v>
      </c>
      <c r="F30" s="57">
        <v>39086898.990000002</v>
      </c>
      <c r="G30" s="57">
        <v>116325295.42</v>
      </c>
      <c r="H30" s="57">
        <v>3771536.4098770209</v>
      </c>
      <c r="I30" s="52"/>
      <c r="J30" s="52"/>
      <c r="K30" s="50"/>
      <c r="L30" s="50"/>
    </row>
    <row r="31" spans="2:12" ht="15" x14ac:dyDescent="0.25">
      <c r="B31" s="58">
        <v>24</v>
      </c>
      <c r="C31" s="58" t="s">
        <v>15</v>
      </c>
      <c r="D31" s="59" t="s">
        <v>135</v>
      </c>
      <c r="E31" s="58" t="s">
        <v>15</v>
      </c>
      <c r="F31" s="57">
        <v>1633663</v>
      </c>
      <c r="G31" s="57">
        <v>2991038</v>
      </c>
      <c r="H31" s="57">
        <v>140637.244819577</v>
      </c>
      <c r="I31" s="52"/>
      <c r="J31" s="52"/>
      <c r="K31" s="50"/>
      <c r="L31" s="50"/>
    </row>
    <row r="32" spans="2:12" ht="15" x14ac:dyDescent="0.25">
      <c r="B32" s="58">
        <v>25</v>
      </c>
      <c r="C32" s="58" t="s">
        <v>14</v>
      </c>
      <c r="D32" s="59" t="s">
        <v>135</v>
      </c>
      <c r="E32" s="58" t="s">
        <v>14</v>
      </c>
      <c r="F32" s="57">
        <v>32427172.100000001</v>
      </c>
      <c r="G32" s="57">
        <v>132226811.75320999</v>
      </c>
      <c r="H32" s="57">
        <v>4192825.9095339989</v>
      </c>
      <c r="I32" s="52"/>
      <c r="J32" s="52"/>
      <c r="K32" s="50"/>
      <c r="L32" s="50"/>
    </row>
    <row r="33" spans="2:12" ht="15" x14ac:dyDescent="0.25">
      <c r="B33" s="58">
        <v>26</v>
      </c>
      <c r="C33" s="58" t="s">
        <v>24</v>
      </c>
      <c r="D33" s="59" t="s">
        <v>135</v>
      </c>
      <c r="E33" s="58" t="s">
        <v>24</v>
      </c>
      <c r="F33" s="57">
        <v>1140659.8</v>
      </c>
      <c r="G33" s="57">
        <v>2185959.2999999998</v>
      </c>
      <c r="H33" s="57">
        <v>98874.566609452799</v>
      </c>
      <c r="I33" s="52"/>
      <c r="J33" s="52"/>
      <c r="K33" s="50"/>
      <c r="L33" s="50"/>
    </row>
    <row r="34" spans="2:12" ht="15" x14ac:dyDescent="0.25">
      <c r="B34" s="58">
        <v>27</v>
      </c>
      <c r="C34" s="58" t="s">
        <v>36</v>
      </c>
      <c r="D34" s="59" t="s">
        <v>135</v>
      </c>
      <c r="E34" s="58" t="s">
        <v>36</v>
      </c>
      <c r="F34" s="57">
        <v>1292871.5</v>
      </c>
      <c r="G34" s="57">
        <v>9543185.6530000009</v>
      </c>
      <c r="H34" s="57">
        <v>320629.10548416968</v>
      </c>
      <c r="I34" s="52"/>
      <c r="J34" s="52"/>
      <c r="K34" s="50"/>
      <c r="L34" s="50"/>
    </row>
    <row r="35" spans="2:12" ht="15" x14ac:dyDescent="0.25">
      <c r="B35" s="58">
        <v>28</v>
      </c>
      <c r="C35" s="58" t="s">
        <v>39</v>
      </c>
      <c r="D35" s="59" t="s">
        <v>135</v>
      </c>
      <c r="E35" s="58" t="s">
        <v>39</v>
      </c>
      <c r="F35" s="57">
        <v>2279830.2000000002</v>
      </c>
      <c r="G35" s="57">
        <v>5982451.7654999997</v>
      </c>
      <c r="H35" s="57">
        <v>257467.4819369374</v>
      </c>
      <c r="I35" s="52"/>
      <c r="J35" s="52"/>
      <c r="K35" s="50"/>
      <c r="L35" s="50"/>
    </row>
    <row r="36" spans="2:12" ht="15" x14ac:dyDescent="0.25">
      <c r="B36" s="58">
        <v>29</v>
      </c>
      <c r="C36" s="58" t="s">
        <v>40</v>
      </c>
      <c r="D36" s="59" t="s">
        <v>135</v>
      </c>
      <c r="E36" s="58" t="s">
        <v>40</v>
      </c>
      <c r="F36" s="57">
        <v>1736762.9001</v>
      </c>
      <c r="G36" s="57">
        <v>4296663.1634999998</v>
      </c>
      <c r="H36" s="57">
        <v>186026.64829279631</v>
      </c>
      <c r="I36" s="52"/>
      <c r="J36" s="52"/>
      <c r="K36" s="50"/>
      <c r="L36" s="50"/>
    </row>
    <row r="37" spans="2:12" ht="15" x14ac:dyDescent="0.25">
      <c r="B37" s="58">
        <v>30</v>
      </c>
      <c r="C37" s="58" t="s">
        <v>44</v>
      </c>
      <c r="D37" s="59" t="s">
        <v>135</v>
      </c>
      <c r="E37" s="58" t="s">
        <v>104</v>
      </c>
      <c r="F37" s="57">
        <v>500440.00000000012</v>
      </c>
      <c r="G37" s="57">
        <v>824926</v>
      </c>
      <c r="H37" s="57">
        <v>18506.53702772336</v>
      </c>
      <c r="I37" s="52"/>
      <c r="J37" s="52"/>
      <c r="K37" s="50"/>
      <c r="L37" s="50"/>
    </row>
    <row r="38" spans="2:12" ht="15" x14ac:dyDescent="0.25">
      <c r="B38" s="58">
        <v>31</v>
      </c>
      <c r="C38" s="58" t="s">
        <v>32</v>
      </c>
      <c r="D38" s="59" t="s">
        <v>135</v>
      </c>
      <c r="E38" s="58" t="s">
        <v>32</v>
      </c>
      <c r="F38" s="57">
        <v>4050077.4360000002</v>
      </c>
      <c r="G38" s="57">
        <v>16871536.622000001</v>
      </c>
      <c r="H38" s="57">
        <v>456722.63450234639</v>
      </c>
      <c r="I38" s="52"/>
      <c r="J38" s="52"/>
      <c r="K38" s="50"/>
      <c r="L38" s="50"/>
    </row>
    <row r="39" spans="2:12" ht="15" x14ac:dyDescent="0.25">
      <c r="B39" s="58">
        <v>32</v>
      </c>
      <c r="C39" s="58" t="s">
        <v>31</v>
      </c>
      <c r="D39" s="59" t="s">
        <v>135</v>
      </c>
      <c r="E39" s="58" t="s">
        <v>31</v>
      </c>
      <c r="F39" s="57">
        <v>5965058.4289999995</v>
      </c>
      <c r="G39" s="57">
        <v>26994305.197000001</v>
      </c>
      <c r="H39" s="57">
        <v>692147.51397645636</v>
      </c>
      <c r="I39" s="52"/>
      <c r="J39" s="52"/>
      <c r="K39" s="50"/>
      <c r="L39" s="50"/>
    </row>
    <row r="40" spans="2:12" ht="15" x14ac:dyDescent="0.25">
      <c r="B40" s="58">
        <v>33</v>
      </c>
      <c r="C40" s="58" t="s">
        <v>30</v>
      </c>
      <c r="D40" s="59" t="s">
        <v>135</v>
      </c>
      <c r="E40" s="58" t="s">
        <v>30</v>
      </c>
      <c r="F40" s="57">
        <v>13073514.904999999</v>
      </c>
      <c r="G40" s="57">
        <v>50157817.648999996</v>
      </c>
      <c r="H40" s="57">
        <v>1201240.850516007</v>
      </c>
      <c r="I40" s="52"/>
      <c r="J40" s="52"/>
      <c r="K40" s="50"/>
      <c r="L40" s="50"/>
    </row>
    <row r="41" spans="2:12" ht="15" x14ac:dyDescent="0.25">
      <c r="B41" s="58">
        <v>34</v>
      </c>
      <c r="C41" s="58" t="s">
        <v>19</v>
      </c>
      <c r="D41" s="59" t="s">
        <v>135</v>
      </c>
      <c r="E41" s="58" t="s">
        <v>19</v>
      </c>
      <c r="F41" s="57">
        <v>0</v>
      </c>
      <c r="G41" s="57">
        <v>0</v>
      </c>
      <c r="H41" s="57">
        <v>0</v>
      </c>
      <c r="I41" s="52"/>
      <c r="J41" s="52"/>
      <c r="K41" s="50"/>
      <c r="L41" s="50"/>
    </row>
    <row r="42" spans="2:12" ht="15" x14ac:dyDescent="0.25">
      <c r="B42" s="58">
        <v>35</v>
      </c>
      <c r="C42" s="58" t="s">
        <v>23</v>
      </c>
      <c r="D42" s="59" t="s">
        <v>135</v>
      </c>
      <c r="E42" s="58" t="s">
        <v>23</v>
      </c>
      <c r="F42" s="57">
        <v>0</v>
      </c>
      <c r="G42" s="57">
        <v>6319.3</v>
      </c>
      <c r="H42" s="57">
        <v>206.137335404</v>
      </c>
      <c r="I42" s="52"/>
      <c r="J42" s="52"/>
      <c r="K42" s="50"/>
      <c r="L42" s="50"/>
    </row>
    <row r="43" spans="2:12" ht="15" x14ac:dyDescent="0.25">
      <c r="B43" s="58">
        <v>36</v>
      </c>
      <c r="C43" s="58" t="s">
        <v>25</v>
      </c>
      <c r="D43" s="59" t="s">
        <v>135</v>
      </c>
      <c r="E43" s="58" t="s">
        <v>25</v>
      </c>
      <c r="F43" s="57">
        <v>5075044.74</v>
      </c>
      <c r="G43" s="57">
        <v>12329238.789999999</v>
      </c>
      <c r="H43" s="57">
        <v>413081.11562263343</v>
      </c>
      <c r="I43" s="52"/>
      <c r="J43" s="52"/>
      <c r="K43" s="50"/>
      <c r="L43" s="50"/>
    </row>
    <row r="44" spans="2:12" ht="15" x14ac:dyDescent="0.25">
      <c r="B44" s="58">
        <v>37</v>
      </c>
      <c r="C44" s="58" t="s">
        <v>26</v>
      </c>
      <c r="D44" s="59" t="s">
        <v>135</v>
      </c>
      <c r="E44" s="58" t="s">
        <v>26</v>
      </c>
      <c r="F44" s="57">
        <v>12193525.536</v>
      </c>
      <c r="G44" s="57">
        <v>16771730.183</v>
      </c>
      <c r="H44" s="57">
        <v>677748.95202121185</v>
      </c>
      <c r="I44" s="52"/>
      <c r="J44" s="52"/>
      <c r="K44" s="50"/>
      <c r="L44" s="50"/>
    </row>
    <row r="45" spans="2:12" ht="15" x14ac:dyDescent="0.25">
      <c r="B45" s="58">
        <v>38</v>
      </c>
      <c r="C45" s="58" t="s">
        <v>41</v>
      </c>
      <c r="D45" s="59" t="s">
        <v>135</v>
      </c>
      <c r="E45" s="58" t="s">
        <v>41</v>
      </c>
      <c r="F45" s="57">
        <v>30000.9</v>
      </c>
      <c r="G45" s="57">
        <v>49706.2</v>
      </c>
      <c r="H45" s="57">
        <v>2478.7924338033358</v>
      </c>
      <c r="I45" s="52"/>
      <c r="J45" s="52"/>
      <c r="K45" s="50"/>
      <c r="L45" s="50"/>
    </row>
    <row r="46" spans="2:12" ht="15" x14ac:dyDescent="0.25">
      <c r="B46" s="56" t="s">
        <v>52</v>
      </c>
      <c r="C46" s="55"/>
      <c r="D46" s="55"/>
      <c r="E46" s="54"/>
      <c r="F46" s="53">
        <f>SUM(F8:F45)</f>
        <v>436051410.49110001</v>
      </c>
      <c r="G46" s="53">
        <f>SUM(G8:G45)</f>
        <v>1681459715.55322</v>
      </c>
      <c r="H46" s="53">
        <f>SUM(H8:H45)</f>
        <v>45667716.633271553</v>
      </c>
      <c r="I46" s="52"/>
      <c r="J46" s="52"/>
      <c r="K46" s="50"/>
      <c r="L46" s="50"/>
    </row>
    <row r="47" spans="2:12" ht="15" x14ac:dyDescent="0.25">
      <c r="L47" s="50"/>
    </row>
    <row r="48" spans="2:12" ht="15" x14ac:dyDescent="0.25">
      <c r="F48" s="51"/>
      <c r="G48" s="51"/>
      <c r="H48" s="51"/>
      <c r="L48" s="50"/>
    </row>
  </sheetData>
  <mergeCells count="6">
    <mergeCell ref="E2:F2"/>
    <mergeCell ref="B3:C3"/>
    <mergeCell ref="B6:B7"/>
    <mergeCell ref="C6:C7"/>
    <mergeCell ref="D6:D7"/>
    <mergeCell ref="E6:E7"/>
  </mergeCells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47A7-E9C5-4CB2-9E0D-9985F81A26B2}">
  <sheetPr>
    <tabColor rgb="FF00B050"/>
  </sheetPr>
  <dimension ref="B2:J54"/>
  <sheetViews>
    <sheetView showGridLines="0" zoomScale="85" zoomScaleNormal="85" workbookViewId="0">
      <selection activeCell="N33" sqref="N33"/>
    </sheetView>
  </sheetViews>
  <sheetFormatPr baseColWidth="10" defaultColWidth="11.42578125" defaultRowHeight="12.75" x14ac:dyDescent="0.2"/>
  <cols>
    <col min="1" max="1" width="6.5703125" style="45" customWidth="1"/>
    <col min="2" max="2" width="24.85546875" style="45" customWidth="1"/>
    <col min="3" max="3" width="18.28515625" style="45" customWidth="1"/>
    <col min="4" max="4" width="13.42578125" style="45" bestFit="1" customWidth="1"/>
    <col min="5" max="5" width="12.140625" style="45" bestFit="1" customWidth="1"/>
    <col min="6" max="6" width="16" style="45" customWidth="1"/>
    <col min="7" max="7" width="13.85546875" style="45" customWidth="1"/>
    <col min="8" max="8" width="12.85546875" style="45" customWidth="1"/>
    <col min="9" max="9" width="15.42578125" style="45" customWidth="1"/>
    <col min="10" max="10" width="12.42578125" style="45" bestFit="1" customWidth="1"/>
    <col min="11" max="11" width="23.85546875" style="45" customWidth="1"/>
    <col min="12" max="16384" width="11.42578125" style="45"/>
  </cols>
  <sheetData>
    <row r="2" spans="2:10" x14ac:dyDescent="0.2">
      <c r="B2" s="81" t="s">
        <v>133</v>
      </c>
      <c r="C2" s="81"/>
      <c r="D2" s="81"/>
      <c r="F2" s="141"/>
      <c r="G2" s="141"/>
      <c r="H2" s="141"/>
    </row>
    <row r="3" spans="2:10" ht="15" x14ac:dyDescent="0.25">
      <c r="B3" s="80">
        <v>45566</v>
      </c>
      <c r="C3" s="78"/>
      <c r="D3" s="78"/>
      <c r="F3" s="141"/>
      <c r="G3"/>
      <c r="H3"/>
    </row>
    <row r="4" spans="2:10" ht="15" x14ac:dyDescent="0.25">
      <c r="B4" s="79"/>
      <c r="D4" s="78"/>
      <c r="F4" s="141"/>
      <c r="G4"/>
      <c r="H4"/>
    </row>
    <row r="6" spans="2:10" ht="12.75" customHeight="1" x14ac:dyDescent="0.2">
      <c r="B6" s="128" t="s">
        <v>115</v>
      </c>
      <c r="C6" s="128" t="s">
        <v>114</v>
      </c>
      <c r="D6" s="128" t="s">
        <v>113</v>
      </c>
      <c r="E6" s="128" t="s">
        <v>112</v>
      </c>
      <c r="F6" s="128" t="str">
        <f>"Saldo Tabla 20 D10T-2024 PNP"</f>
        <v>Saldo Tabla 20 D10T-2024 PNP</v>
      </c>
      <c r="G6" s="128" t="s">
        <v>132</v>
      </c>
      <c r="H6" s="128" t="s">
        <v>131</v>
      </c>
      <c r="I6" s="128" t="s">
        <v>122</v>
      </c>
    </row>
    <row r="7" spans="2:10" x14ac:dyDescent="0.2">
      <c r="B7" s="130"/>
      <c r="C7" s="129"/>
      <c r="D7" s="129"/>
      <c r="E7" s="129"/>
      <c r="F7" s="131"/>
      <c r="G7" s="129"/>
      <c r="H7" s="129"/>
      <c r="I7" s="129"/>
    </row>
    <row r="8" spans="2:10" ht="13.5" customHeight="1" x14ac:dyDescent="0.2">
      <c r="B8" s="130"/>
      <c r="C8" s="77" t="s">
        <v>111</v>
      </c>
      <c r="D8" s="77" t="s">
        <v>111</v>
      </c>
      <c r="E8" s="77" t="s">
        <v>8</v>
      </c>
      <c r="F8" s="77" t="s">
        <v>8</v>
      </c>
      <c r="G8" s="77" t="s">
        <v>8</v>
      </c>
      <c r="H8" s="77" t="s">
        <v>8</v>
      </c>
      <c r="I8" s="76" t="s">
        <v>8</v>
      </c>
    </row>
    <row r="9" spans="2:10" x14ac:dyDescent="0.2">
      <c r="B9" s="75" t="s">
        <v>10</v>
      </c>
      <c r="C9" s="74">
        <f>SUMIF('Entrada CUSSR'!$E$8:$E$45,'Reliquidación CUSSR'!$B9,'Entrada CUSSR'!F$8:F$45)</f>
        <v>1369056</v>
      </c>
      <c r="D9" s="74">
        <f>SUMIF('Entrada CUSSR'!$E$8:$E$45,'Reliquidación CUSSR'!$B9,'Entrada CUSSR'!G$8:G$45)</f>
        <v>3036897</v>
      </c>
      <c r="E9" s="74">
        <f>SUMIF('Entrada CUSSR'!$E$8:$E$45,'Reliquidación CUSSR'!$B9,'Entrada CUSSR'!H$8:H$45)</f>
        <v>0</v>
      </c>
      <c r="F9" s="74">
        <v>-11579584</v>
      </c>
      <c r="G9" s="117">
        <f t="shared" ref="G9:G45" si="0">+F9/F$46</f>
        <v>2.8298350216811239E-2</v>
      </c>
      <c r="H9" s="74">
        <f t="shared" ref="H9:H45" si="1">+G9*E$46</f>
        <v>1292321.0388904144</v>
      </c>
      <c r="I9" s="74">
        <f t="shared" ref="I9:I45" si="2">+E9-H9</f>
        <v>-1292321.0388904144</v>
      </c>
      <c r="J9" s="88"/>
    </row>
    <row r="10" spans="2:10" x14ac:dyDescent="0.2">
      <c r="B10" s="73" t="s">
        <v>16</v>
      </c>
      <c r="C10" s="72">
        <f>SUMIF('Entrada CUSSR'!$E$8:$E$45,'Reliquidación CUSSR'!$B10,'Entrada CUSSR'!F$8:F$45)</f>
        <v>736444</v>
      </c>
      <c r="D10" s="72">
        <f>SUMIF('Entrada CUSSR'!$E$8:$E$45,'Reliquidación CUSSR'!$B10,'Entrada CUSSR'!G$8:G$45)</f>
        <v>2954329</v>
      </c>
      <c r="E10" s="72">
        <f>SUMIF('Entrada CUSSR'!$E$8:$E$45,'Reliquidación CUSSR'!$B10,'Entrada CUSSR'!H$8:H$45)</f>
        <v>0</v>
      </c>
      <c r="F10" s="72">
        <v>-2618665</v>
      </c>
      <c r="G10" s="116">
        <f t="shared" si="0"/>
        <v>6.3995303519112602E-3</v>
      </c>
      <c r="H10" s="72">
        <f t="shared" si="1"/>
        <v>292251.93869710405</v>
      </c>
      <c r="I10" s="72">
        <f t="shared" si="2"/>
        <v>-292251.93869710405</v>
      </c>
      <c r="J10" s="88"/>
    </row>
    <row r="11" spans="2:10" x14ac:dyDescent="0.2">
      <c r="B11" s="73" t="s">
        <v>27</v>
      </c>
      <c r="C11" s="72">
        <f>SUMIF('Entrada CUSSR'!$E$8:$E$45,'Reliquidación CUSSR'!$B11,'Entrada CUSSR'!F$8:F$45)</f>
        <v>1805683.4</v>
      </c>
      <c r="D11" s="72">
        <f>SUMIF('Entrada CUSSR'!$E$8:$E$45,'Reliquidación CUSSR'!$B11,'Entrada CUSSR'!G$8:G$45)</f>
        <v>5971293.3500100002</v>
      </c>
      <c r="E11" s="72">
        <f>SUMIF('Entrada CUSSR'!$E$8:$E$45,'Reliquidación CUSSR'!$B11,'Entrada CUSSR'!H$8:H$45)</f>
        <v>174451.19257413119</v>
      </c>
      <c r="F11" s="72">
        <v>0</v>
      </c>
      <c r="G11" s="116">
        <f t="shared" si="0"/>
        <v>0</v>
      </c>
      <c r="H11" s="72">
        <f t="shared" si="1"/>
        <v>0</v>
      </c>
      <c r="I11" s="72">
        <f t="shared" si="2"/>
        <v>174451.19257413119</v>
      </c>
      <c r="J11" s="88"/>
    </row>
    <row r="12" spans="2:10" x14ac:dyDescent="0.2">
      <c r="B12" s="73" t="s">
        <v>34</v>
      </c>
      <c r="C12" s="72">
        <f>SUMIF('Entrada CUSSR'!$E$8:$E$45,'Reliquidación CUSSR'!$B12,'Entrada CUSSR'!F$8:F$45)</f>
        <v>407838</v>
      </c>
      <c r="D12" s="72">
        <f>SUMIF('Entrada CUSSR'!$E$8:$E$45,'Reliquidación CUSSR'!$B12,'Entrada CUSSR'!G$8:G$45)</f>
        <v>1342341</v>
      </c>
      <c r="E12" s="72">
        <f>SUMIF('Entrada CUSSR'!$E$8:$E$45,'Reliquidación CUSSR'!$B12,'Entrada CUSSR'!H$8:H$45)</f>
        <v>57058.862775363123</v>
      </c>
      <c r="F12" s="72">
        <v>-172386</v>
      </c>
      <c r="G12" s="116">
        <f t="shared" si="0"/>
        <v>4.2127933097382619E-4</v>
      </c>
      <c r="H12" s="72">
        <f t="shared" si="1"/>
        <v>19238.865110366918</v>
      </c>
      <c r="I12" s="72">
        <f t="shared" si="2"/>
        <v>37819.997664996205</v>
      </c>
      <c r="J12" s="88"/>
    </row>
    <row r="13" spans="2:10" x14ac:dyDescent="0.2">
      <c r="B13" s="73" t="s">
        <v>12</v>
      </c>
      <c r="C13" s="72">
        <f>SUMIF('Entrada CUSSR'!$E$8:$E$45,'Reliquidación CUSSR'!$B13,'Entrada CUSSR'!F$8:F$45)</f>
        <v>129685529.675</v>
      </c>
      <c r="D13" s="72">
        <f>SUMIF('Entrada CUSSR'!$E$8:$E$45,'Reliquidación CUSSR'!$B13,'Entrada CUSSR'!G$8:G$45)</f>
        <v>463007299.80900002</v>
      </c>
      <c r="E13" s="72">
        <f>SUMIF('Entrada CUSSR'!$E$8:$E$45,'Reliquidación CUSSR'!$B13,'Entrada CUSSR'!H$8:H$45)</f>
        <v>11564425.825600339</v>
      </c>
      <c r="F13" s="72">
        <v>-220409710</v>
      </c>
      <c r="G13" s="116">
        <f t="shared" si="0"/>
        <v>0.53864034880405043</v>
      </c>
      <c r="H13" s="72">
        <f t="shared" si="1"/>
        <v>24598474.816429928</v>
      </c>
      <c r="I13" s="72">
        <f t="shared" si="2"/>
        <v>-13034048.990829589</v>
      </c>
      <c r="J13" s="88"/>
    </row>
    <row r="14" spans="2:10" x14ac:dyDescent="0.2">
      <c r="B14" s="73" t="s">
        <v>110</v>
      </c>
      <c r="C14" s="72">
        <f>SUMIF('Entrada CUSSR'!$E$8:$E$45,'Reliquidación CUSSR'!$B14,'Entrada CUSSR'!F$8:F$45)</f>
        <v>233278</v>
      </c>
      <c r="D14" s="72">
        <f>SUMIF('Entrada CUSSR'!$E$8:$E$45,'Reliquidación CUSSR'!$B14,'Entrada CUSSR'!G$8:G$45)</f>
        <v>913327.00399999996</v>
      </c>
      <c r="E14" s="72">
        <f>SUMIF('Entrada CUSSR'!$E$8:$E$45,'Reliquidación CUSSR'!$B14,'Entrada CUSSR'!H$8:H$45)</f>
        <v>28004.64854368076</v>
      </c>
      <c r="F14" s="72">
        <v>0</v>
      </c>
      <c r="G14" s="116">
        <f t="shared" si="0"/>
        <v>0</v>
      </c>
      <c r="H14" s="72">
        <f t="shared" si="1"/>
        <v>0</v>
      </c>
      <c r="I14" s="72">
        <f t="shared" si="2"/>
        <v>28004.64854368076</v>
      </c>
      <c r="J14" s="88"/>
    </row>
    <row r="15" spans="2:10" x14ac:dyDescent="0.2">
      <c r="B15" s="73" t="s">
        <v>33</v>
      </c>
      <c r="C15" s="72">
        <f>SUMIF('Entrada CUSSR'!$E$8:$E$45,'Reliquidación CUSSR'!$B15,'Entrada CUSSR'!F$8:F$45)</f>
        <v>10262916.464</v>
      </c>
      <c r="D15" s="72">
        <f>SUMIF('Entrada CUSSR'!$E$8:$E$45,'Reliquidación CUSSR'!$B15,'Entrada CUSSR'!G$8:G$45)</f>
        <v>20625852.081</v>
      </c>
      <c r="E15" s="72">
        <f>SUMIF('Entrada CUSSR'!$E$8:$E$45,'Reliquidación CUSSR'!$B15,'Entrada CUSSR'!H$8:H$45)</f>
        <v>540251.05055856681</v>
      </c>
      <c r="F15" s="72">
        <v>0</v>
      </c>
      <c r="G15" s="116">
        <f t="shared" si="0"/>
        <v>0</v>
      </c>
      <c r="H15" s="72">
        <f t="shared" si="1"/>
        <v>0</v>
      </c>
      <c r="I15" s="72">
        <f t="shared" si="2"/>
        <v>540251.05055856681</v>
      </c>
      <c r="J15" s="88"/>
    </row>
    <row r="16" spans="2:10" x14ac:dyDescent="0.2">
      <c r="B16" s="73" t="s">
        <v>109</v>
      </c>
      <c r="C16" s="72">
        <f>SUMIF('Entrada CUSSR'!$E$8:$E$45,'Reliquidación CUSSR'!$B16,'Entrada CUSSR'!F$8:F$45)</f>
        <v>0</v>
      </c>
      <c r="D16" s="72">
        <f>SUMIF('Entrada CUSSR'!$E$8:$E$45,'Reliquidación CUSSR'!$B16,'Entrada CUSSR'!G$8:G$45)</f>
        <v>0</v>
      </c>
      <c r="E16" s="72">
        <f>SUMIF('Entrada CUSSR'!$E$8:$E$45,'Reliquidación CUSSR'!$B16,'Entrada CUSSR'!H$8:H$45)</f>
        <v>0</v>
      </c>
      <c r="F16" s="72">
        <v>0</v>
      </c>
      <c r="G16" s="116">
        <f t="shared" si="0"/>
        <v>0</v>
      </c>
      <c r="H16" s="72">
        <f t="shared" si="1"/>
        <v>0</v>
      </c>
      <c r="I16" s="72">
        <f t="shared" si="2"/>
        <v>0</v>
      </c>
      <c r="J16" s="88"/>
    </row>
    <row r="17" spans="2:10" x14ac:dyDescent="0.2">
      <c r="B17" s="73" t="s">
        <v>108</v>
      </c>
      <c r="C17" s="72">
        <f>SUMIF('Entrada CUSSR'!$E$8:$E$45,'Reliquidación CUSSR'!$B17,'Entrada CUSSR'!F$8:F$45)</f>
        <v>0</v>
      </c>
      <c r="D17" s="72">
        <f>SUMIF('Entrada CUSSR'!$E$8:$E$45,'Reliquidación CUSSR'!$B17,'Entrada CUSSR'!G$8:G$45)</f>
        <v>0</v>
      </c>
      <c r="E17" s="72">
        <f>SUMIF('Entrada CUSSR'!$E$8:$E$45,'Reliquidación CUSSR'!$B17,'Entrada CUSSR'!H$8:H$45)</f>
        <v>0</v>
      </c>
      <c r="F17" s="72">
        <v>0</v>
      </c>
      <c r="G17" s="116">
        <f t="shared" si="0"/>
        <v>0</v>
      </c>
      <c r="H17" s="72">
        <f t="shared" si="1"/>
        <v>0</v>
      </c>
      <c r="I17" s="72">
        <f t="shared" si="2"/>
        <v>0</v>
      </c>
      <c r="J17" s="88"/>
    </row>
    <row r="18" spans="2:10" x14ac:dyDescent="0.2">
      <c r="B18" s="73" t="s">
        <v>13</v>
      </c>
      <c r="C18" s="72">
        <f>SUMIF('Entrada CUSSR'!$E$8:$E$45,'Reliquidación CUSSR'!$B18,'Entrada CUSSR'!F$8:F$45)+SUMIF('Entrada CUSSR'!$E$8:$E$45,"LUZ ANDES",'Entrada CUSSR'!F$8:F$45)</f>
        <v>99737508.739000008</v>
      </c>
      <c r="D18" s="72">
        <f>SUMIF('Entrada CUSSR'!$E$8:$E$45,'Reliquidación CUSSR'!$B18,'Entrada CUSSR'!G$8:G$45)+SUMIF('Entrada CUSSR'!$E$8:$E$45,"LUZ ANDES",'Entrada CUSSR'!G$8:G$45)</f>
        <v>579636193.58700001</v>
      </c>
      <c r="E18" s="72">
        <f>SUMIF('Entrada CUSSR'!$E$8:$E$45,'Reliquidación CUSSR'!$B18,'Entrada CUSSR'!H$8:H$45)+SUMIF('Entrada CUSSR'!$E$8:$E$45,"LUZ ANDES",'Entrada CUSSR'!H$8:H$45)</f>
        <v>13988114.771611309</v>
      </c>
      <c r="F18" s="72">
        <v>-13680692</v>
      </c>
      <c r="G18" s="116">
        <f t="shared" si="0"/>
        <v>3.3433067493990096E-2</v>
      </c>
      <c r="H18" s="72">
        <f t="shared" si="1"/>
        <v>1526811.8524965823</v>
      </c>
      <c r="I18" s="72">
        <f t="shared" si="2"/>
        <v>12461302.919114726</v>
      </c>
      <c r="J18" s="88"/>
    </row>
    <row r="19" spans="2:10" x14ac:dyDescent="0.2">
      <c r="B19" s="73" t="s">
        <v>107</v>
      </c>
      <c r="C19" s="72">
        <f>SUMIF('Entrada CUSSR'!$E$8:$E$45,'Reliquidación CUSSR'!$B19,'Entrada CUSSR'!F$8:F$45)</f>
        <v>32570199.870000001</v>
      </c>
      <c r="D19" s="72">
        <f>SUMIF('Entrada CUSSR'!$E$8:$E$45,'Reliquidación CUSSR'!$B19,'Entrada CUSSR'!G$8:G$45)</f>
        <v>70264417.353</v>
      </c>
      <c r="E19" s="72">
        <f>SUMIF('Entrada CUSSR'!$E$8:$E$45,'Reliquidación CUSSR'!$B19,'Entrada CUSSR'!H$8:H$45)</f>
        <v>2142911.6515440401</v>
      </c>
      <c r="F19" s="72">
        <v>0</v>
      </c>
      <c r="G19" s="116">
        <f t="shared" si="0"/>
        <v>0</v>
      </c>
      <c r="H19" s="72">
        <f t="shared" si="1"/>
        <v>0</v>
      </c>
      <c r="I19" s="72">
        <f t="shared" si="2"/>
        <v>2142911.6515440401</v>
      </c>
      <c r="J19" s="88"/>
    </row>
    <row r="20" spans="2:10" x14ac:dyDescent="0.2">
      <c r="B20" s="73" t="s">
        <v>106</v>
      </c>
      <c r="C20" s="72">
        <f>SUMIF('Entrada CUSSR'!$E$8:$E$45,'Reliquidación CUSSR'!$B20,'Entrada CUSSR'!F$8:F$45)</f>
        <v>3244522.9169999999</v>
      </c>
      <c r="D20" s="72">
        <f>SUMIF('Entrada CUSSR'!$E$8:$E$45,'Reliquidación CUSSR'!$B20,'Entrada CUSSR'!G$8:G$45)</f>
        <v>18023899.783</v>
      </c>
      <c r="E20" s="72">
        <f>SUMIF('Entrada CUSSR'!$E$8:$E$45,'Reliquidación CUSSR'!$B20,'Entrada CUSSR'!H$8:H$45)</f>
        <v>471878.65334115899</v>
      </c>
      <c r="F20" s="72">
        <v>0</v>
      </c>
      <c r="G20" s="116">
        <f t="shared" si="0"/>
        <v>0</v>
      </c>
      <c r="H20" s="72">
        <f t="shared" si="1"/>
        <v>0</v>
      </c>
      <c r="I20" s="72">
        <f t="shared" si="2"/>
        <v>471878.65334115899</v>
      </c>
      <c r="J20" s="88"/>
    </row>
    <row r="21" spans="2:10" x14ac:dyDescent="0.2">
      <c r="B21" s="73" t="s">
        <v>105</v>
      </c>
      <c r="C21" s="72">
        <f>SUMIF('Entrada CUSSR'!$E$8:$E$45,'Reliquidación CUSSR'!$B21,'Entrada CUSSR'!F$8:F$45)</f>
        <v>0</v>
      </c>
      <c r="D21" s="72">
        <f>SUMIF('Entrada CUSSR'!$E$8:$E$45,'Reliquidación CUSSR'!$B21,'Entrada CUSSR'!G$8:G$45)</f>
        <v>0</v>
      </c>
      <c r="E21" s="72">
        <f>SUMIF('Entrada CUSSR'!$E$8:$E$45,'Reliquidación CUSSR'!$B21,'Entrada CUSSR'!H$8:H$45)</f>
        <v>0</v>
      </c>
      <c r="F21" s="72">
        <v>0</v>
      </c>
      <c r="G21" s="116">
        <f t="shared" si="0"/>
        <v>0</v>
      </c>
      <c r="H21" s="72">
        <f t="shared" si="1"/>
        <v>0</v>
      </c>
      <c r="I21" s="72">
        <f t="shared" si="2"/>
        <v>0</v>
      </c>
      <c r="J21" s="88"/>
    </row>
    <row r="22" spans="2:10" x14ac:dyDescent="0.2">
      <c r="B22" s="73" t="s">
        <v>22</v>
      </c>
      <c r="C22" s="72">
        <f>SUMIF('Entrada CUSSR'!$E$8:$E$45,'Reliquidación CUSSR'!$B22,'Entrada CUSSR'!F$8:F$45)</f>
        <v>1337677</v>
      </c>
      <c r="D22" s="72">
        <f>SUMIF('Entrada CUSSR'!$E$8:$E$45,'Reliquidación CUSSR'!$B22,'Entrada CUSSR'!G$8:G$45)</f>
        <v>7924621</v>
      </c>
      <c r="E22" s="72">
        <f>SUMIF('Entrada CUSSR'!$E$8:$E$45,'Reliquidación CUSSR'!$B22,'Entrada CUSSR'!H$8:H$45)</f>
        <v>286462.70154222328</v>
      </c>
      <c r="F22" s="72">
        <v>-442245.18000000005</v>
      </c>
      <c r="G22" s="116">
        <f t="shared" si="0"/>
        <v>1.0807649899458155E-3</v>
      </c>
      <c r="H22" s="72">
        <f t="shared" si="1"/>
        <v>49356.069308006088</v>
      </c>
      <c r="I22" s="72">
        <f t="shared" si="2"/>
        <v>237106.63223421719</v>
      </c>
      <c r="J22" s="88"/>
    </row>
    <row r="23" spans="2:10" x14ac:dyDescent="0.2">
      <c r="B23" s="73" t="s">
        <v>21</v>
      </c>
      <c r="C23" s="72">
        <f>SUMIF('Entrada CUSSR'!$E$8:$E$45,'Reliquidación CUSSR'!$B23,'Entrada CUSSR'!F$8:F$45)</f>
        <v>4035448</v>
      </c>
      <c r="D23" s="72">
        <f>SUMIF('Entrada CUSSR'!$E$8:$E$45,'Reliquidación CUSSR'!$B23,'Entrada CUSSR'!G$8:G$45)</f>
        <v>13663454</v>
      </c>
      <c r="E23" s="72">
        <f>SUMIF('Entrada CUSSR'!$E$8:$E$45,'Reliquidación CUSSR'!$B23,'Entrada CUSSR'!H$8:H$45)</f>
        <v>551770.50644484721</v>
      </c>
      <c r="F23" s="72">
        <v>-12176379</v>
      </c>
      <c r="G23" s="116">
        <f t="shared" si="0"/>
        <v>2.9756806230226043E-2</v>
      </c>
      <c r="H23" s="72">
        <f t="shared" si="1"/>
        <v>1358925.3948331326</v>
      </c>
      <c r="I23" s="72">
        <f t="shared" si="2"/>
        <v>-807154.88838828541</v>
      </c>
      <c r="J23" s="88"/>
    </row>
    <row r="24" spans="2:10" x14ac:dyDescent="0.2">
      <c r="B24" s="73" t="s">
        <v>28</v>
      </c>
      <c r="C24" s="72">
        <f>SUMIF('Entrada CUSSR'!$E$8:$E$45,'Reliquidación CUSSR'!$B24,'Entrada CUSSR'!F$8:F$45)</f>
        <v>1680286</v>
      </c>
      <c r="D24" s="72">
        <f>SUMIF('Entrada CUSSR'!$E$8:$E$45,'Reliquidación CUSSR'!$B24,'Entrada CUSSR'!G$8:G$45)</f>
        <v>13303288</v>
      </c>
      <c r="E24" s="72">
        <f>SUMIF('Entrada CUSSR'!$E$8:$E$45,'Reliquidación CUSSR'!$B24,'Entrada CUSSR'!H$8:H$45)</f>
        <v>389129.12521386403</v>
      </c>
      <c r="F24" s="72">
        <v>0</v>
      </c>
      <c r="G24" s="116">
        <f t="shared" si="0"/>
        <v>0</v>
      </c>
      <c r="H24" s="72">
        <f t="shared" si="1"/>
        <v>0</v>
      </c>
      <c r="I24" s="72">
        <f t="shared" si="2"/>
        <v>389129.12521386403</v>
      </c>
      <c r="J24" s="88"/>
    </row>
    <row r="25" spans="2:10" x14ac:dyDescent="0.2">
      <c r="B25" s="73" t="s">
        <v>20</v>
      </c>
      <c r="C25" s="72">
        <f>SUMIF('Entrada CUSSR'!$E$8:$E$45,'Reliquidación CUSSR'!$B25,'Entrada CUSSR'!F$8:F$45)</f>
        <v>422574</v>
      </c>
      <c r="D25" s="72">
        <f>SUMIF('Entrada CUSSR'!$E$8:$E$45,'Reliquidación CUSSR'!$B25,'Entrada CUSSR'!G$8:G$45)</f>
        <v>2515825</v>
      </c>
      <c r="E25" s="72">
        <f>SUMIF('Entrada CUSSR'!$E$8:$E$45,'Reliquidación CUSSR'!$B25,'Entrada CUSSR'!H$8:H$45)</f>
        <v>96697.916259014004</v>
      </c>
      <c r="F25" s="72">
        <v>-3354390</v>
      </c>
      <c r="G25" s="116">
        <f t="shared" si="0"/>
        <v>8.1975054530257253E-3</v>
      </c>
      <c r="H25" s="72">
        <f t="shared" si="1"/>
        <v>374361.35612847726</v>
      </c>
      <c r="I25" s="72">
        <f t="shared" si="2"/>
        <v>-277663.43986946327</v>
      </c>
      <c r="J25" s="88"/>
    </row>
    <row r="26" spans="2:10" x14ac:dyDescent="0.2">
      <c r="B26" s="73" t="s">
        <v>43</v>
      </c>
      <c r="C26" s="72">
        <f>SUMIF('Entrada CUSSR'!$E$8:$E$45,'Reliquidación CUSSR'!$B26,'Entrada CUSSR'!F$8:F$45)</f>
        <v>1033516</v>
      </c>
      <c r="D26" s="72">
        <f>SUMIF('Entrada CUSSR'!$E$8:$E$45,'Reliquidación CUSSR'!$B26,'Entrada CUSSR'!G$8:G$45)</f>
        <v>1899168</v>
      </c>
      <c r="E26" s="72">
        <f>SUMIF('Entrada CUSSR'!$E$8:$E$45,'Reliquidación CUSSR'!$B26,'Entrada CUSSR'!H$8:H$45)</f>
        <v>90749.673319441921</v>
      </c>
      <c r="F26" s="72">
        <v>-6202683</v>
      </c>
      <c r="G26" s="116">
        <f t="shared" si="0"/>
        <v>1.5158203940475011E-2</v>
      </c>
      <c r="H26" s="72">
        <f t="shared" si="1"/>
        <v>692240.56222295319</v>
      </c>
      <c r="I26" s="72">
        <f t="shared" si="2"/>
        <v>-601490.88890351122</v>
      </c>
      <c r="J26" s="88"/>
    </row>
    <row r="27" spans="2:10" x14ac:dyDescent="0.2">
      <c r="B27" s="73" t="s">
        <v>18</v>
      </c>
      <c r="C27" s="72">
        <f>SUMIF('Entrada CUSSR'!$E$8:$E$45,'Reliquidación CUSSR'!$B27,'Entrada CUSSR'!F$8:F$45)</f>
        <v>1232712</v>
      </c>
      <c r="D27" s="72">
        <f>SUMIF('Entrada CUSSR'!$E$8:$E$45,'Reliquidación CUSSR'!$B27,'Entrada CUSSR'!G$8:G$45)</f>
        <v>6789432</v>
      </c>
      <c r="E27" s="72">
        <f>SUMIF('Entrada CUSSR'!$E$8:$E$45,'Reliquidación CUSSR'!$B27,'Entrada CUSSR'!H$8:H$45)</f>
        <v>247445.15622188541</v>
      </c>
      <c r="F27" s="72">
        <v>-3440153</v>
      </c>
      <c r="G27" s="116">
        <f t="shared" si="0"/>
        <v>8.4070942784657751E-3</v>
      </c>
      <c r="H27" s="72">
        <f t="shared" si="1"/>
        <v>383932.79921817366</v>
      </c>
      <c r="I27" s="72">
        <f t="shared" si="2"/>
        <v>-136487.64299628825</v>
      </c>
      <c r="J27" s="88"/>
    </row>
    <row r="28" spans="2:10" x14ac:dyDescent="0.2">
      <c r="B28" s="73" t="s">
        <v>35</v>
      </c>
      <c r="C28" s="72">
        <f>SUMIF('Entrada CUSSR'!$E$8:$E$45,'Reliquidación CUSSR'!$B28,'Entrada CUSSR'!F$8:F$45)</f>
        <v>18146722.66</v>
      </c>
      <c r="D28" s="72">
        <f>SUMIF('Entrada CUSSR'!$E$8:$E$45,'Reliquidación CUSSR'!$B28,'Entrada CUSSR'!G$8:G$45)</f>
        <v>65344272.25</v>
      </c>
      <c r="E28" s="72">
        <f>SUMIF('Entrada CUSSR'!$E$8:$E$45,'Reliquidación CUSSR'!$B28,'Entrada CUSSR'!H$8:H$45)</f>
        <v>2192855.2209404241</v>
      </c>
      <c r="F28" s="72">
        <v>-20733529</v>
      </c>
      <c r="G28" s="116">
        <f t="shared" si="0"/>
        <v>5.0668889734934525E-2</v>
      </c>
      <c r="H28" s="72">
        <f t="shared" si="1"/>
        <v>2313932.498537472</v>
      </c>
      <c r="I28" s="72">
        <f t="shared" si="2"/>
        <v>-121077.27759704785</v>
      </c>
      <c r="J28" s="88"/>
    </row>
    <row r="29" spans="2:10" x14ac:dyDescent="0.2">
      <c r="B29" s="73" t="s">
        <v>38</v>
      </c>
      <c r="C29" s="72">
        <f>SUMIF('Entrada CUSSR'!$E$8:$E$45,'Reliquidación CUSSR'!$B29,'Entrada CUSSR'!F$8:F$45)</f>
        <v>7623977.3300000001</v>
      </c>
      <c r="D29" s="72">
        <f>SUMIF('Entrada CUSSR'!$E$8:$E$45,'Reliquidación CUSSR'!$B29,'Entrada CUSSR'!G$8:G$45)</f>
        <v>6686820.3399999999</v>
      </c>
      <c r="E29" s="72">
        <f>SUMIF('Entrada CUSSR'!$E$8:$E$45,'Reliquidación CUSSR'!$B29,'Entrada CUSSR'!H$8:H$45)</f>
        <v>415379.77679174038</v>
      </c>
      <c r="F29" s="72">
        <v>-4639688</v>
      </c>
      <c r="G29" s="116">
        <f t="shared" si="0"/>
        <v>1.1338534779896799E-2</v>
      </c>
      <c r="H29" s="72">
        <f t="shared" si="1"/>
        <v>517804.99336482113</v>
      </c>
      <c r="I29" s="72">
        <f t="shared" si="2"/>
        <v>-102425.21657308075</v>
      </c>
      <c r="J29" s="88"/>
    </row>
    <row r="30" spans="2:10" x14ac:dyDescent="0.2">
      <c r="B30" s="73" t="s">
        <v>42</v>
      </c>
      <c r="C30" s="72">
        <f>SUMIF('Entrada CUSSR'!$E$8:$E$45,'Reliquidación CUSSR'!$B30,'Entrada CUSSR'!F$8:F$45)</f>
        <v>39086898.990000002</v>
      </c>
      <c r="D30" s="72">
        <f>SUMIF('Entrada CUSSR'!$E$8:$E$45,'Reliquidación CUSSR'!$B30,'Entrada CUSSR'!G$8:G$45)</f>
        <v>116325295.42</v>
      </c>
      <c r="E30" s="72">
        <f>SUMIF('Entrada CUSSR'!$E$8:$E$45,'Reliquidación CUSSR'!$B30,'Entrada CUSSR'!H$8:H$45)</f>
        <v>3771536.4098770209</v>
      </c>
      <c r="F30" s="72">
        <v>-37233066</v>
      </c>
      <c r="G30" s="116">
        <f t="shared" si="0"/>
        <v>9.0990690279862133E-2</v>
      </c>
      <c r="H30" s="72">
        <f t="shared" si="1"/>
        <v>4155337.0599665209</v>
      </c>
      <c r="I30" s="72">
        <f t="shared" si="2"/>
        <v>-383800.65008950001</v>
      </c>
      <c r="J30" s="88"/>
    </row>
    <row r="31" spans="2:10" x14ac:dyDescent="0.2">
      <c r="B31" s="73" t="s">
        <v>15</v>
      </c>
      <c r="C31" s="72">
        <f>SUMIF('Entrada CUSSR'!$E$8:$E$45,'Reliquidación CUSSR'!$B31,'Entrada CUSSR'!F$8:F$45)</f>
        <v>1633663</v>
      </c>
      <c r="D31" s="72">
        <f>SUMIF('Entrada CUSSR'!$E$8:$E$45,'Reliquidación CUSSR'!$B31,'Entrada CUSSR'!G$8:G$45)</f>
        <v>2991038</v>
      </c>
      <c r="E31" s="72">
        <f>SUMIF('Entrada CUSSR'!$E$8:$E$45,'Reliquidación CUSSR'!$B31,'Entrada CUSSR'!H$8:H$45)</f>
        <v>140637.244819577</v>
      </c>
      <c r="F31" s="72">
        <v>-2626977.9330000002</v>
      </c>
      <c r="G31" s="116">
        <f t="shared" si="0"/>
        <v>6.4198456144770738E-3</v>
      </c>
      <c r="H31" s="72">
        <f t="shared" si="1"/>
        <v>293179.69035129016</v>
      </c>
      <c r="I31" s="72">
        <f t="shared" si="2"/>
        <v>-152542.44553171317</v>
      </c>
      <c r="J31" s="88"/>
    </row>
    <row r="32" spans="2:10" x14ac:dyDescent="0.2">
      <c r="B32" s="73" t="s">
        <v>14</v>
      </c>
      <c r="C32" s="72">
        <f>SUMIF('Entrada CUSSR'!$E$8:$E$45,'Reliquidación CUSSR'!$B32,'Entrada CUSSR'!F$8:F$45)</f>
        <v>32427172.100000001</v>
      </c>
      <c r="D32" s="72">
        <f>SUMIF('Entrada CUSSR'!$E$8:$E$45,'Reliquidación CUSSR'!$B32,'Entrada CUSSR'!G$8:G$45)</f>
        <v>132226811.75320999</v>
      </c>
      <c r="E32" s="72">
        <f>SUMIF('Entrada CUSSR'!$E$8:$E$45,'Reliquidación CUSSR'!$B32,'Entrada CUSSR'!H$8:H$45)</f>
        <v>4192825.9095339989</v>
      </c>
      <c r="F32" s="72">
        <v>-44498318</v>
      </c>
      <c r="G32" s="116">
        <f t="shared" si="0"/>
        <v>0.10874561528488721</v>
      </c>
      <c r="H32" s="72">
        <f t="shared" si="1"/>
        <v>4966163.9439409934</v>
      </c>
      <c r="I32" s="72">
        <f t="shared" si="2"/>
        <v>-773338.03440699447</v>
      </c>
      <c r="J32" s="88"/>
    </row>
    <row r="33" spans="2:10" x14ac:dyDescent="0.2">
      <c r="B33" s="73" t="s">
        <v>24</v>
      </c>
      <c r="C33" s="72">
        <f>SUMIF('Entrada CUSSR'!$E$8:$E$45,'Reliquidación CUSSR'!$B33,'Entrada CUSSR'!F$8:F$45)</f>
        <v>1140659.8</v>
      </c>
      <c r="D33" s="72">
        <f>SUMIF('Entrada CUSSR'!$E$8:$E$45,'Reliquidación CUSSR'!$B33,'Entrada CUSSR'!G$8:G$45)</f>
        <v>2185959.2999999998</v>
      </c>
      <c r="E33" s="72">
        <f>SUMIF('Entrada CUSSR'!$E$8:$E$45,'Reliquidación CUSSR'!$B33,'Entrada CUSSR'!H$8:H$45)</f>
        <v>98874.566609452799</v>
      </c>
      <c r="F33" s="72">
        <v>-1774820</v>
      </c>
      <c r="G33" s="116">
        <f t="shared" si="0"/>
        <v>4.3373300743619909E-3</v>
      </c>
      <c r="H33" s="72">
        <f t="shared" si="1"/>
        <v>198075.96078093007</v>
      </c>
      <c r="I33" s="72">
        <f t="shared" si="2"/>
        <v>-99201.394171477266</v>
      </c>
      <c r="J33" s="88"/>
    </row>
    <row r="34" spans="2:10" x14ac:dyDescent="0.2">
      <c r="B34" s="73" t="s">
        <v>36</v>
      </c>
      <c r="C34" s="72">
        <f>SUMIF('Entrada CUSSR'!$E$8:$E$45,'Reliquidación CUSSR'!$B34,'Entrada CUSSR'!F$8:F$45)</f>
        <v>1292871.5</v>
      </c>
      <c r="D34" s="72">
        <f>SUMIF('Entrada CUSSR'!$E$8:$E$45,'Reliquidación CUSSR'!$B34,'Entrada CUSSR'!G$8:G$45)</f>
        <v>9543185.6530000009</v>
      </c>
      <c r="E34" s="72">
        <f>SUMIF('Entrada CUSSR'!$E$8:$E$45,'Reliquidación CUSSR'!$B34,'Entrada CUSSR'!H$8:H$45)</f>
        <v>320629.10548416968</v>
      </c>
      <c r="F34" s="72">
        <v>-1386934</v>
      </c>
      <c r="G34" s="116">
        <f t="shared" si="0"/>
        <v>3.3894088129247887E-3</v>
      </c>
      <c r="H34" s="72">
        <f t="shared" si="1"/>
        <v>154786.5612229626</v>
      </c>
      <c r="I34" s="72">
        <f t="shared" si="2"/>
        <v>165842.54426120708</v>
      </c>
      <c r="J34" s="88"/>
    </row>
    <row r="35" spans="2:10" x14ac:dyDescent="0.2">
      <c r="B35" s="73" t="s">
        <v>39</v>
      </c>
      <c r="C35" s="72">
        <f>SUMIF('Entrada CUSSR'!$E$8:$E$45,'Reliquidación CUSSR'!$B35,'Entrada CUSSR'!F$8:F$45)</f>
        <v>2279830.2000000002</v>
      </c>
      <c r="D35" s="72">
        <f>SUMIF('Entrada CUSSR'!$E$8:$E$45,'Reliquidación CUSSR'!$B35,'Entrada CUSSR'!G$8:G$45)</f>
        <v>5982451.7654999997</v>
      </c>
      <c r="E35" s="72">
        <f>SUMIF('Entrada CUSSR'!$E$8:$E$45,'Reliquidación CUSSR'!$B35,'Entrada CUSSR'!H$8:H$45)</f>
        <v>257467.4819369374</v>
      </c>
      <c r="F35" s="72">
        <v>-13816754</v>
      </c>
      <c r="G35" s="116">
        <f t="shared" si="0"/>
        <v>3.3765577722958573E-2</v>
      </c>
      <c r="H35" s="72">
        <f t="shared" si="1"/>
        <v>1541996.8354107789</v>
      </c>
      <c r="I35" s="72">
        <f t="shared" si="2"/>
        <v>-1284529.3534738414</v>
      </c>
      <c r="J35" s="88"/>
    </row>
    <row r="36" spans="2:10" x14ac:dyDescent="0.2">
      <c r="B36" s="73" t="s">
        <v>40</v>
      </c>
      <c r="C36" s="72">
        <f>SUMIF('Entrada CUSSR'!$E$8:$E$45,'Reliquidación CUSSR'!$B36,'Entrada CUSSR'!F$8:F$45)</f>
        <v>1736762.9001</v>
      </c>
      <c r="D36" s="72">
        <f>SUMIF('Entrada CUSSR'!$E$8:$E$45,'Reliquidación CUSSR'!$B36,'Entrada CUSSR'!G$8:G$45)</f>
        <v>4296663.1634999998</v>
      </c>
      <c r="E36" s="72">
        <f>SUMIF('Entrada CUSSR'!$E$8:$E$45,'Reliquidación CUSSR'!$B36,'Entrada CUSSR'!H$8:H$45)</f>
        <v>186026.64829279631</v>
      </c>
      <c r="F36" s="72">
        <v>-6006815</v>
      </c>
      <c r="G36" s="116">
        <f t="shared" si="0"/>
        <v>1.4679538967686144E-2</v>
      </c>
      <c r="H36" s="72">
        <f t="shared" si="1"/>
        <v>670381.02588335855</v>
      </c>
      <c r="I36" s="72">
        <f t="shared" si="2"/>
        <v>-484354.37759056222</v>
      </c>
      <c r="J36" s="88"/>
    </row>
    <row r="37" spans="2:10" x14ac:dyDescent="0.2">
      <c r="B37" s="73" t="s">
        <v>104</v>
      </c>
      <c r="C37" s="72">
        <f>SUMIF('Entrada CUSSR'!$E$8:$E$45,'Reliquidación CUSSR'!$B37,'Entrada CUSSR'!F$8:F$45)</f>
        <v>500440.00000000012</v>
      </c>
      <c r="D37" s="72">
        <f>SUMIF('Entrada CUSSR'!$E$8:$E$45,'Reliquidación CUSSR'!$B37,'Entrada CUSSR'!G$8:G$45)</f>
        <v>824926</v>
      </c>
      <c r="E37" s="72">
        <f>SUMIF('Entrada CUSSR'!$E$8:$E$45,'Reliquidación CUSSR'!$B37,'Entrada CUSSR'!H$8:H$45)</f>
        <v>18506.53702772336</v>
      </c>
      <c r="F37" s="72">
        <v>0</v>
      </c>
      <c r="G37" s="116">
        <f t="shared" si="0"/>
        <v>0</v>
      </c>
      <c r="H37" s="72">
        <f t="shared" si="1"/>
        <v>0</v>
      </c>
      <c r="I37" s="72">
        <f t="shared" si="2"/>
        <v>18506.53702772336</v>
      </c>
      <c r="J37" s="88"/>
    </row>
    <row r="38" spans="2:10" x14ac:dyDescent="0.2">
      <c r="B38" s="73" t="s">
        <v>32</v>
      </c>
      <c r="C38" s="72">
        <f>SUMIF('Entrada CUSSR'!$E$8:$E$45,'Reliquidación CUSSR'!$B38,'Entrada CUSSR'!F$8:F$45)</f>
        <v>4050077.4360000002</v>
      </c>
      <c r="D38" s="72">
        <f>SUMIF('Entrada CUSSR'!$E$8:$E$45,'Reliquidación CUSSR'!$B38,'Entrada CUSSR'!G$8:G$45)</f>
        <v>16871536.622000001</v>
      </c>
      <c r="E38" s="72">
        <f>SUMIF('Entrada CUSSR'!$E$8:$E$45,'Reliquidación CUSSR'!$B38,'Entrada CUSSR'!H$8:H$45)</f>
        <v>456722.63450234639</v>
      </c>
      <c r="F38" s="72">
        <v>0</v>
      </c>
      <c r="G38" s="116">
        <f t="shared" si="0"/>
        <v>0</v>
      </c>
      <c r="H38" s="72">
        <f t="shared" si="1"/>
        <v>0</v>
      </c>
      <c r="I38" s="72">
        <f t="shared" si="2"/>
        <v>456722.63450234639</v>
      </c>
      <c r="J38" s="88"/>
    </row>
    <row r="39" spans="2:10" x14ac:dyDescent="0.2">
      <c r="B39" s="73" t="s">
        <v>31</v>
      </c>
      <c r="C39" s="72">
        <f>SUMIF('Entrada CUSSR'!$E$8:$E$45,'Reliquidación CUSSR'!$B39,'Entrada CUSSR'!F$8:F$45)</f>
        <v>5965058.4289999995</v>
      </c>
      <c r="D39" s="72">
        <f>SUMIF('Entrada CUSSR'!$E$8:$E$45,'Reliquidación CUSSR'!$B39,'Entrada CUSSR'!G$8:G$45)</f>
        <v>26994305.197000001</v>
      </c>
      <c r="E39" s="72">
        <f>SUMIF('Entrada CUSSR'!$E$8:$E$45,'Reliquidación CUSSR'!$B39,'Entrada CUSSR'!H$8:H$45)</f>
        <v>692147.51397645636</v>
      </c>
      <c r="F39" s="72">
        <v>0</v>
      </c>
      <c r="G39" s="116">
        <f t="shared" si="0"/>
        <v>0</v>
      </c>
      <c r="H39" s="72">
        <f t="shared" si="1"/>
        <v>0</v>
      </c>
      <c r="I39" s="72">
        <f t="shared" si="2"/>
        <v>692147.51397645636</v>
      </c>
      <c r="J39" s="88"/>
    </row>
    <row r="40" spans="2:10" x14ac:dyDescent="0.2">
      <c r="B40" s="73" t="s">
        <v>30</v>
      </c>
      <c r="C40" s="72">
        <f>SUMIF('Entrada CUSSR'!$E$8:$E$45,'Reliquidación CUSSR'!$B40,'Entrada CUSSR'!F$8:F$45)</f>
        <v>13073514.904999999</v>
      </c>
      <c r="D40" s="72">
        <f>SUMIF('Entrada CUSSR'!$E$8:$E$45,'Reliquidación CUSSR'!$B40,'Entrada CUSSR'!G$8:G$45)</f>
        <v>50157817.648999996</v>
      </c>
      <c r="E40" s="72">
        <f>SUMIF('Entrada CUSSR'!$E$8:$E$45,'Reliquidación CUSSR'!$B40,'Entrada CUSSR'!H$8:H$45)</f>
        <v>1201240.850516007</v>
      </c>
      <c r="F40" s="72">
        <v>0</v>
      </c>
      <c r="G40" s="116">
        <f t="shared" si="0"/>
        <v>0</v>
      </c>
      <c r="H40" s="72">
        <f t="shared" si="1"/>
        <v>0</v>
      </c>
      <c r="I40" s="72">
        <f t="shared" si="2"/>
        <v>1201240.850516007</v>
      </c>
      <c r="J40" s="88"/>
    </row>
    <row r="41" spans="2:10" x14ac:dyDescent="0.2">
      <c r="B41" s="73" t="s">
        <v>19</v>
      </c>
      <c r="C41" s="72">
        <f>SUMIF('Entrada CUSSR'!$E$8:$E$45,'Reliquidación CUSSR'!$B41,'Entrada CUSSR'!F$8:F$45)</f>
        <v>0</v>
      </c>
      <c r="D41" s="72">
        <f>SUMIF('Entrada CUSSR'!$E$8:$E$45,'Reliquidación CUSSR'!$B41,'Entrada CUSSR'!G$8:G$45)</f>
        <v>0</v>
      </c>
      <c r="E41" s="72">
        <f>SUMIF('Entrada CUSSR'!$E$8:$E$45,'Reliquidación CUSSR'!$B41,'Entrada CUSSR'!H$8:H$45)</f>
        <v>0</v>
      </c>
      <c r="F41" s="72">
        <v>0</v>
      </c>
      <c r="G41" s="116">
        <f t="shared" si="0"/>
        <v>0</v>
      </c>
      <c r="H41" s="72">
        <f t="shared" si="1"/>
        <v>0</v>
      </c>
      <c r="I41" s="72">
        <f t="shared" si="2"/>
        <v>0</v>
      </c>
      <c r="J41" s="88"/>
    </row>
    <row r="42" spans="2:10" x14ac:dyDescent="0.2">
      <c r="B42" s="73" t="s">
        <v>23</v>
      </c>
      <c r="C42" s="72">
        <f>SUMIF('Entrada CUSSR'!$E$8:$E$45,'Reliquidación CUSSR'!$B42,'Entrada CUSSR'!F$8:F$45)</f>
        <v>0</v>
      </c>
      <c r="D42" s="72">
        <f>SUMIF('Entrada CUSSR'!$E$8:$E$45,'Reliquidación CUSSR'!$B42,'Entrada CUSSR'!G$8:G$45)</f>
        <v>6319.3</v>
      </c>
      <c r="E42" s="72">
        <f>SUMIF('Entrada CUSSR'!$E$8:$E$45,'Reliquidación CUSSR'!$B42,'Entrada CUSSR'!H$8:H$45)</f>
        <v>206.137335404</v>
      </c>
      <c r="F42" s="72">
        <v>0</v>
      </c>
      <c r="G42" s="116">
        <f t="shared" si="0"/>
        <v>0</v>
      </c>
      <c r="H42" s="72">
        <f t="shared" si="1"/>
        <v>0</v>
      </c>
      <c r="I42" s="72">
        <f t="shared" si="2"/>
        <v>206.137335404</v>
      </c>
      <c r="J42" s="88"/>
    </row>
    <row r="43" spans="2:10" x14ac:dyDescent="0.2">
      <c r="B43" s="73" t="s">
        <v>25</v>
      </c>
      <c r="C43" s="72">
        <f>SUMIF('Entrada CUSSR'!$E$8:$E$45,'Reliquidación CUSSR'!$B43,'Entrada CUSSR'!F$8:F$45)</f>
        <v>5075044.74</v>
      </c>
      <c r="D43" s="72">
        <f>SUMIF('Entrada CUSSR'!$E$8:$E$45,'Reliquidación CUSSR'!$B43,'Entrada CUSSR'!G$8:G$45)</f>
        <v>12329238.789999999</v>
      </c>
      <c r="E43" s="72">
        <f>SUMIF('Entrada CUSSR'!$E$8:$E$45,'Reliquidación CUSSR'!$B43,'Entrada CUSSR'!H$8:H$45)</f>
        <v>413081.11562263343</v>
      </c>
      <c r="F43" s="72">
        <v>-2180486</v>
      </c>
      <c r="G43" s="116">
        <f t="shared" si="0"/>
        <v>5.3287023498299994E-3</v>
      </c>
      <c r="H43" s="72">
        <f t="shared" si="1"/>
        <v>243349.66893508472</v>
      </c>
      <c r="I43" s="72">
        <f t="shared" si="2"/>
        <v>169731.44668754871</v>
      </c>
      <c r="J43" s="88"/>
    </row>
    <row r="44" spans="2:10" x14ac:dyDescent="0.2">
      <c r="B44" s="73" t="s">
        <v>26</v>
      </c>
      <c r="C44" s="72">
        <f>SUMIF('Entrada CUSSR'!$E$8:$E$45,'Reliquidación CUSSR'!$B44,'Entrada CUSSR'!F$8:F$45)</f>
        <v>12193525.536</v>
      </c>
      <c r="D44" s="72">
        <f>SUMIF('Entrada CUSSR'!$E$8:$E$45,'Reliquidación CUSSR'!$B44,'Entrada CUSSR'!G$8:G$45)</f>
        <v>16771730.183</v>
      </c>
      <c r="E44" s="72">
        <f>SUMIF('Entrada CUSSR'!$E$8:$E$45,'Reliquidación CUSSR'!$B44,'Entrada CUSSR'!H$8:H$45)</f>
        <v>677748.95202121185</v>
      </c>
      <c r="F44" s="72">
        <v>-222159</v>
      </c>
      <c r="G44" s="116">
        <f t="shared" si="0"/>
        <v>5.429152883053975E-4</v>
      </c>
      <c r="H44" s="72">
        <f t="shared" si="1"/>
        <v>24793.701542201827</v>
      </c>
      <c r="I44" s="72">
        <f t="shared" si="2"/>
        <v>652955.25047901005</v>
      </c>
      <c r="J44" s="88"/>
    </row>
    <row r="45" spans="2:10" x14ac:dyDescent="0.2">
      <c r="B45" s="71" t="s">
        <v>41</v>
      </c>
      <c r="C45" s="70">
        <f>SUMIF('Entrada CUSSR'!$E$8:$E$45,'Reliquidación CUSSR'!$B45,'Entrada CUSSR'!F$8:F$45)</f>
        <v>30000.9</v>
      </c>
      <c r="D45" s="70">
        <f>SUMIF('Entrada CUSSR'!$E$8:$E$45,'Reliquidación CUSSR'!$B45,'Entrada CUSSR'!G$8:G$45)</f>
        <v>49706.2</v>
      </c>
      <c r="E45" s="70">
        <f>SUMIF('Entrada CUSSR'!$E$8:$E$45,'Reliquidación CUSSR'!$B45,'Entrada CUSSR'!H$8:H$45)</f>
        <v>2478.7924338033358</v>
      </c>
      <c r="F45" s="70">
        <v>0</v>
      </c>
      <c r="G45" s="115">
        <f t="shared" si="0"/>
        <v>0</v>
      </c>
      <c r="H45" s="70">
        <f t="shared" si="1"/>
        <v>0</v>
      </c>
      <c r="I45" s="70">
        <f t="shared" si="2"/>
        <v>2478.7924338033358</v>
      </c>
      <c r="J45" s="88"/>
    </row>
    <row r="46" spans="2:10" x14ac:dyDescent="0.2">
      <c r="B46" s="69" t="s">
        <v>121</v>
      </c>
      <c r="C46" s="53">
        <f t="shared" ref="C46:I46" si="3">SUM(C9:C45)</f>
        <v>436051410.49110001</v>
      </c>
      <c r="D46" s="53">
        <f t="shared" si="3"/>
        <v>1681459715.55322</v>
      </c>
      <c r="E46" s="53">
        <f t="shared" si="3"/>
        <v>45667716.63327156</v>
      </c>
      <c r="F46" s="53">
        <f t="shared" si="3"/>
        <v>-409196434.11300004</v>
      </c>
      <c r="G46" s="114">
        <f t="shared" si="3"/>
        <v>0.99999999999999989</v>
      </c>
      <c r="H46" s="53">
        <f t="shared" si="3"/>
        <v>45667716.633271568</v>
      </c>
      <c r="I46" s="53">
        <f t="shared" si="3"/>
        <v>1.3521002983907238E-8</v>
      </c>
    </row>
    <row r="47" spans="2:10" x14ac:dyDescent="0.2">
      <c r="B47" s="66"/>
    </row>
    <row r="49" spans="5:8" x14ac:dyDescent="0.2">
      <c r="F49" s="82"/>
      <c r="G49" s="60"/>
      <c r="H49" s="60"/>
    </row>
    <row r="50" spans="5:8" x14ac:dyDescent="0.2">
      <c r="F50" s="65"/>
      <c r="G50" s="60"/>
      <c r="H50" s="60"/>
    </row>
    <row r="51" spans="5:8" x14ac:dyDescent="0.2">
      <c r="F51" s="65"/>
    </row>
    <row r="53" spans="5:8" x14ac:dyDescent="0.2">
      <c r="E53" s="60"/>
      <c r="F53" s="60"/>
    </row>
    <row r="54" spans="5:8" x14ac:dyDescent="0.2">
      <c r="F54" s="52"/>
    </row>
  </sheetData>
  <dataConsolidate/>
  <mergeCells count="8">
    <mergeCell ref="H6:H7"/>
    <mergeCell ref="I6:I7"/>
    <mergeCell ref="B6:B8"/>
    <mergeCell ref="C6:C7"/>
    <mergeCell ref="D6:D7"/>
    <mergeCell ref="E6:E7"/>
    <mergeCell ref="F6:F7"/>
    <mergeCell ref="G6:G7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23339-222C-4F99-9C0B-A4ABA0E0F68A}">
  <sheetPr>
    <tabColor rgb="FF00B050"/>
  </sheetPr>
  <dimension ref="B2:X69"/>
  <sheetViews>
    <sheetView zoomScale="70" zoomScaleNormal="70" workbookViewId="0"/>
  </sheetViews>
  <sheetFormatPr baseColWidth="10" defaultColWidth="11.42578125" defaultRowHeight="12.75" x14ac:dyDescent="0.2"/>
  <cols>
    <col min="1" max="1" width="9.140625" style="66" customWidth="1"/>
    <col min="2" max="2" width="23.85546875" style="66" customWidth="1"/>
    <col min="3" max="18" width="17" style="66" customWidth="1"/>
    <col min="19" max="19" width="16.140625" style="66" customWidth="1"/>
    <col min="20" max="20" width="20.5703125" style="66" customWidth="1"/>
    <col min="21" max="21" width="15.7109375" style="66" customWidth="1"/>
    <col min="22" max="22" width="9.85546875" style="66" customWidth="1"/>
    <col min="23" max="23" width="36.140625" style="66" customWidth="1"/>
    <col min="24" max="24" width="13.7109375" style="66" customWidth="1"/>
    <col min="25" max="25" width="14" style="66" bestFit="1" customWidth="1"/>
    <col min="26" max="30" width="10.85546875" style="66" customWidth="1"/>
    <col min="31" max="31" width="13.28515625" style="66" bestFit="1" customWidth="1"/>
    <col min="32" max="32" width="15.85546875" style="66" bestFit="1" customWidth="1"/>
    <col min="33" max="33" width="17" style="66" bestFit="1" customWidth="1"/>
    <col min="34" max="34" width="17.85546875" style="66" customWidth="1"/>
    <col min="35" max="16384" width="11.42578125" style="66"/>
  </cols>
  <sheetData>
    <row r="2" spans="2:24" ht="18.75" x14ac:dyDescent="0.3">
      <c r="B2" s="121" t="s">
        <v>134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X2" s="66" t="s">
        <v>130</v>
      </c>
    </row>
    <row r="3" spans="2:24" x14ac:dyDescent="0.2">
      <c r="B3" s="110">
        <v>45566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11"/>
    </row>
    <row r="6" spans="2:24" ht="12.75" customHeight="1" x14ac:dyDescent="0.2">
      <c r="B6" s="132" t="s">
        <v>115</v>
      </c>
      <c r="C6" s="136" t="s">
        <v>129</v>
      </c>
      <c r="D6" s="120"/>
      <c r="E6" s="120"/>
      <c r="F6" s="132" t="s">
        <v>115</v>
      </c>
      <c r="G6" s="136" t="s">
        <v>128</v>
      </c>
      <c r="I6" s="132" t="s">
        <v>127</v>
      </c>
      <c r="J6" s="133" cm="1">
        <f t="array" ref="J6">SUMPRODUCT(($G$8:$G$34&gt;0)*($G$8:$G$34))</f>
        <v>14309530.575026635</v>
      </c>
      <c r="K6" s="120"/>
      <c r="L6" s="120"/>
      <c r="M6" s="120"/>
      <c r="N6" s="120"/>
      <c r="O6" s="120"/>
      <c r="P6" s="120"/>
      <c r="Q6" s="120"/>
      <c r="R6" s="120"/>
    </row>
    <row r="7" spans="2:24" ht="27" customHeight="1" x14ac:dyDescent="0.2">
      <c r="B7" s="132"/>
      <c r="C7" s="137"/>
      <c r="D7" s="120"/>
      <c r="E7" s="120"/>
      <c r="F7" s="132"/>
      <c r="G7" s="137"/>
      <c r="I7" s="132"/>
      <c r="J7" s="133"/>
      <c r="K7" s="120"/>
      <c r="L7" s="120"/>
      <c r="M7" s="120"/>
      <c r="N7" s="120"/>
      <c r="O7" s="120"/>
      <c r="P7" s="120"/>
      <c r="Q7" s="120"/>
      <c r="R7" s="120"/>
    </row>
    <row r="8" spans="2:24" x14ac:dyDescent="0.2">
      <c r="B8" s="107" t="s">
        <v>10</v>
      </c>
      <c r="C8" s="108">
        <f>'Reliquidación CUSSR'!I9</f>
        <v>-1292321.0388904144</v>
      </c>
      <c r="D8" s="119"/>
      <c r="E8" s="119"/>
      <c r="F8" s="107" t="s">
        <v>10</v>
      </c>
      <c r="G8" s="104">
        <f>VLOOKUP(F8,$B$8:$C$44,2,0)</f>
        <v>-1292321.0388904144</v>
      </c>
      <c r="H8" s="106"/>
      <c r="K8" s="119"/>
      <c r="L8" s="119"/>
      <c r="M8" s="119"/>
      <c r="N8" s="119"/>
      <c r="O8" s="119"/>
      <c r="P8" s="119"/>
      <c r="Q8" s="119"/>
      <c r="R8" s="119"/>
      <c r="S8" s="101"/>
    </row>
    <row r="9" spans="2:24" x14ac:dyDescent="0.2">
      <c r="B9" s="105" t="s">
        <v>16</v>
      </c>
      <c r="C9" s="104">
        <f>'Reliquidación CUSSR'!I10</f>
        <v>-292251.93869710405</v>
      </c>
      <c r="D9" s="119"/>
      <c r="E9" s="119"/>
      <c r="F9" s="105" t="s">
        <v>16</v>
      </c>
      <c r="G9" s="104">
        <f>VLOOKUP(F9,$B$8:$C$44,2,0)</f>
        <v>-292251.93869710405</v>
      </c>
      <c r="H9" s="106"/>
      <c r="K9" s="119"/>
      <c r="L9" s="119"/>
      <c r="M9" s="119"/>
      <c r="N9" s="119"/>
      <c r="O9" s="119"/>
      <c r="P9" s="119"/>
      <c r="Q9" s="119"/>
      <c r="R9" s="119"/>
      <c r="S9" s="101"/>
    </row>
    <row r="10" spans="2:24" x14ac:dyDescent="0.2">
      <c r="B10" s="105" t="s">
        <v>27</v>
      </c>
      <c r="C10" s="104">
        <f>'Reliquidación CUSSR'!I11</f>
        <v>174451.19257413119</v>
      </c>
      <c r="D10" s="119"/>
      <c r="E10" s="119"/>
      <c r="F10" s="105" t="s">
        <v>27</v>
      </c>
      <c r="G10" s="104">
        <f>VLOOKUP(F10,$B$8:$C$44,2,0)</f>
        <v>174451.19257413119</v>
      </c>
      <c r="H10" s="106"/>
      <c r="K10" s="119"/>
      <c r="L10" s="119"/>
      <c r="M10" s="119"/>
      <c r="N10" s="119"/>
      <c r="O10" s="119"/>
      <c r="P10" s="119"/>
      <c r="Q10" s="119"/>
      <c r="R10" s="119"/>
      <c r="S10" s="101"/>
    </row>
    <row r="11" spans="2:24" x14ac:dyDescent="0.2">
      <c r="B11" s="105" t="s">
        <v>34</v>
      </c>
      <c r="C11" s="104">
        <f>'Reliquidación CUSSR'!I12</f>
        <v>37819.997664996205</v>
      </c>
      <c r="D11" s="119"/>
      <c r="E11" s="119"/>
      <c r="F11" s="105" t="s">
        <v>34</v>
      </c>
      <c r="G11" s="104">
        <f>VLOOKUP(F11,$B$8:$C$44,2,0)</f>
        <v>37819.997664996205</v>
      </c>
      <c r="H11" s="106"/>
      <c r="K11" s="119"/>
      <c r="L11" s="119"/>
      <c r="M11" s="119"/>
      <c r="N11" s="119"/>
      <c r="O11" s="119"/>
      <c r="P11" s="119"/>
      <c r="Q11" s="119"/>
      <c r="R11" s="119"/>
      <c r="S11" s="101"/>
    </row>
    <row r="12" spans="2:24" x14ac:dyDescent="0.2">
      <c r="B12" s="105" t="s">
        <v>12</v>
      </c>
      <c r="C12" s="104">
        <f>'Reliquidación CUSSR'!I13</f>
        <v>-13034048.990829589</v>
      </c>
      <c r="D12" s="119"/>
      <c r="E12" s="119"/>
      <c r="F12" s="105" t="s">
        <v>11</v>
      </c>
      <c r="G12" s="104">
        <f>C12+C13+C14+C15+C16+C18+C19+C20+C37+C38+C39</f>
        <v>-7500891.9878473328</v>
      </c>
      <c r="H12" s="106"/>
      <c r="K12" s="119"/>
      <c r="L12" s="119"/>
      <c r="M12" s="119"/>
      <c r="N12" s="119"/>
      <c r="O12" s="119"/>
      <c r="P12" s="119"/>
      <c r="Q12" s="119"/>
      <c r="R12" s="119"/>
      <c r="S12" s="101"/>
    </row>
    <row r="13" spans="2:24" x14ac:dyDescent="0.2">
      <c r="B13" s="105" t="s">
        <v>110</v>
      </c>
      <c r="C13" s="104">
        <f>'Reliquidación CUSSR'!I14</f>
        <v>28004.64854368076</v>
      </c>
      <c r="D13" s="119"/>
      <c r="E13" s="119"/>
      <c r="F13" s="105" t="s">
        <v>123</v>
      </c>
      <c r="G13" s="104">
        <f>C17</f>
        <v>12461302.919114726</v>
      </c>
      <c r="H13" s="106"/>
      <c r="K13" s="119"/>
      <c r="L13" s="119"/>
      <c r="M13" s="119"/>
      <c r="N13" s="119"/>
      <c r="O13" s="119"/>
      <c r="P13" s="119"/>
      <c r="Q13" s="119"/>
      <c r="R13" s="119"/>
      <c r="S13" s="101"/>
    </row>
    <row r="14" spans="2:24" x14ac:dyDescent="0.2">
      <c r="B14" s="105" t="s">
        <v>33</v>
      </c>
      <c r="C14" s="104">
        <f>'Reliquidación CUSSR'!I15</f>
        <v>540251.05055856681</v>
      </c>
      <c r="D14" s="119"/>
      <c r="E14" s="119"/>
      <c r="F14" s="105" t="s">
        <v>22</v>
      </c>
      <c r="G14" s="104">
        <f t="shared" ref="G14:G34" si="0">VLOOKUP(F14,$B$8:$C$44,2,0)</f>
        <v>237106.63223421719</v>
      </c>
      <c r="H14" s="106"/>
      <c r="K14" s="119"/>
      <c r="L14" s="119"/>
      <c r="M14" s="119"/>
      <c r="N14" s="119"/>
      <c r="O14" s="119"/>
      <c r="P14" s="119"/>
      <c r="Q14" s="119"/>
      <c r="R14" s="119"/>
      <c r="S14" s="101"/>
    </row>
    <row r="15" spans="2:24" x14ac:dyDescent="0.2">
      <c r="B15" s="105" t="s">
        <v>109</v>
      </c>
      <c r="C15" s="104">
        <f>'Reliquidación CUSSR'!I16</f>
        <v>0</v>
      </c>
      <c r="D15" s="119"/>
      <c r="E15" s="119"/>
      <c r="F15" s="105" t="s">
        <v>21</v>
      </c>
      <c r="G15" s="104">
        <f t="shared" si="0"/>
        <v>-807154.88838828541</v>
      </c>
      <c r="H15" s="106"/>
      <c r="K15" s="119"/>
      <c r="L15" s="119"/>
      <c r="M15" s="119"/>
      <c r="N15" s="119"/>
      <c r="O15" s="119"/>
      <c r="P15" s="119"/>
      <c r="Q15" s="119"/>
      <c r="R15" s="119"/>
      <c r="S15" s="101"/>
    </row>
    <row r="16" spans="2:24" x14ac:dyDescent="0.2">
      <c r="B16" s="105" t="s">
        <v>108</v>
      </c>
      <c r="C16" s="104">
        <f>'Reliquidación CUSSR'!I17</f>
        <v>0</v>
      </c>
      <c r="D16" s="119"/>
      <c r="E16" s="119"/>
      <c r="F16" s="105" t="s">
        <v>28</v>
      </c>
      <c r="G16" s="104">
        <f t="shared" si="0"/>
        <v>389129.12521386403</v>
      </c>
      <c r="H16" s="106"/>
      <c r="K16" s="119"/>
      <c r="L16" s="119"/>
      <c r="M16" s="119"/>
      <c r="N16" s="119"/>
      <c r="O16" s="119"/>
      <c r="P16" s="119"/>
      <c r="Q16" s="119"/>
      <c r="R16" s="119"/>
      <c r="S16" s="101"/>
    </row>
    <row r="17" spans="2:19" x14ac:dyDescent="0.2">
      <c r="B17" s="105" t="s">
        <v>13</v>
      </c>
      <c r="C17" s="104">
        <f>'Reliquidación CUSSR'!I18</f>
        <v>12461302.919114726</v>
      </c>
      <c r="D17" s="119"/>
      <c r="E17" s="119"/>
      <c r="F17" s="105" t="s">
        <v>20</v>
      </c>
      <c r="G17" s="104">
        <f t="shared" si="0"/>
        <v>-277663.43986946327</v>
      </c>
      <c r="H17" s="106"/>
      <c r="K17" s="119"/>
      <c r="L17" s="119"/>
      <c r="M17" s="119"/>
      <c r="N17" s="119"/>
      <c r="O17" s="119"/>
      <c r="P17" s="119"/>
      <c r="Q17" s="119"/>
      <c r="R17" s="119"/>
      <c r="S17" s="101"/>
    </row>
    <row r="18" spans="2:19" x14ac:dyDescent="0.2">
      <c r="B18" s="105" t="s">
        <v>107</v>
      </c>
      <c r="C18" s="104">
        <f>'Reliquidación CUSSR'!I19</f>
        <v>2142911.6515440401</v>
      </c>
      <c r="D18" s="119"/>
      <c r="E18" s="119"/>
      <c r="F18" s="105" t="s">
        <v>43</v>
      </c>
      <c r="G18" s="104">
        <f t="shared" si="0"/>
        <v>-601490.88890351122</v>
      </c>
      <c r="H18" s="106"/>
      <c r="K18" s="119"/>
      <c r="L18" s="119"/>
      <c r="M18" s="119"/>
      <c r="N18" s="119"/>
      <c r="O18" s="119"/>
      <c r="P18" s="119"/>
      <c r="Q18" s="119"/>
      <c r="R18" s="119"/>
      <c r="S18" s="101"/>
    </row>
    <row r="19" spans="2:19" x14ac:dyDescent="0.2">
      <c r="B19" s="105" t="s">
        <v>106</v>
      </c>
      <c r="C19" s="104">
        <f>'Reliquidación CUSSR'!I20</f>
        <v>471878.65334115899</v>
      </c>
      <c r="D19" s="119"/>
      <c r="E19" s="119"/>
      <c r="F19" s="105" t="s">
        <v>18</v>
      </c>
      <c r="G19" s="104">
        <f t="shared" si="0"/>
        <v>-136487.64299628825</v>
      </c>
      <c r="H19" s="106"/>
      <c r="K19" s="119"/>
      <c r="L19" s="119"/>
      <c r="M19" s="119"/>
      <c r="N19" s="119"/>
      <c r="O19" s="119"/>
      <c r="P19" s="119"/>
      <c r="Q19" s="119"/>
      <c r="R19" s="119"/>
      <c r="S19" s="101"/>
    </row>
    <row r="20" spans="2:19" x14ac:dyDescent="0.2">
      <c r="B20" s="105" t="s">
        <v>105</v>
      </c>
      <c r="C20" s="104">
        <f>'Reliquidación CUSSR'!I21</f>
        <v>0</v>
      </c>
      <c r="D20" s="119"/>
      <c r="E20" s="119"/>
      <c r="F20" s="105" t="s">
        <v>35</v>
      </c>
      <c r="G20" s="104">
        <f t="shared" si="0"/>
        <v>-121077.27759704785</v>
      </c>
      <c r="H20" s="106"/>
      <c r="K20" s="119"/>
      <c r="L20" s="119"/>
      <c r="M20" s="119"/>
      <c r="N20" s="119"/>
      <c r="O20" s="119"/>
      <c r="P20" s="119"/>
      <c r="Q20" s="119"/>
      <c r="R20" s="119"/>
      <c r="S20" s="101"/>
    </row>
    <row r="21" spans="2:19" x14ac:dyDescent="0.2">
      <c r="B21" s="105" t="s">
        <v>22</v>
      </c>
      <c r="C21" s="104">
        <f>'Reliquidación CUSSR'!I22</f>
        <v>237106.63223421719</v>
      </c>
      <c r="D21" s="119"/>
      <c r="E21" s="119"/>
      <c r="F21" s="105" t="s">
        <v>38</v>
      </c>
      <c r="G21" s="104">
        <f t="shared" si="0"/>
        <v>-102425.21657308075</v>
      </c>
      <c r="H21" s="106"/>
      <c r="K21" s="119"/>
      <c r="L21" s="119"/>
      <c r="M21" s="119"/>
      <c r="N21" s="119"/>
      <c r="O21" s="119"/>
      <c r="P21" s="119"/>
      <c r="Q21" s="119"/>
      <c r="R21" s="119"/>
      <c r="S21" s="101"/>
    </row>
    <row r="22" spans="2:19" x14ac:dyDescent="0.2">
      <c r="B22" s="105" t="s">
        <v>21</v>
      </c>
      <c r="C22" s="104">
        <f>'Reliquidación CUSSR'!I23</f>
        <v>-807154.88838828541</v>
      </c>
      <c r="D22" s="119"/>
      <c r="E22" s="119"/>
      <c r="F22" s="105" t="s">
        <v>42</v>
      </c>
      <c r="G22" s="104">
        <f t="shared" si="0"/>
        <v>-383800.65008950001</v>
      </c>
      <c r="H22" s="106"/>
      <c r="K22" s="119"/>
      <c r="L22" s="119"/>
      <c r="M22" s="119"/>
      <c r="N22" s="119"/>
      <c r="O22" s="119"/>
      <c r="P22" s="119"/>
      <c r="Q22" s="119"/>
      <c r="R22" s="119"/>
      <c r="S22" s="101"/>
    </row>
    <row r="23" spans="2:19" x14ac:dyDescent="0.2">
      <c r="B23" s="105" t="s">
        <v>28</v>
      </c>
      <c r="C23" s="104">
        <f>'Reliquidación CUSSR'!I24</f>
        <v>389129.12521386403</v>
      </c>
      <c r="D23" s="119"/>
      <c r="E23" s="119"/>
      <c r="F23" s="105" t="s">
        <v>15</v>
      </c>
      <c r="G23" s="104">
        <f t="shared" si="0"/>
        <v>-152542.44553171317</v>
      </c>
      <c r="H23" s="106"/>
      <c r="K23" s="119"/>
      <c r="L23" s="119"/>
      <c r="M23" s="119"/>
      <c r="N23" s="119"/>
      <c r="O23" s="119"/>
      <c r="P23" s="119"/>
      <c r="Q23" s="119"/>
      <c r="R23" s="119"/>
      <c r="S23" s="101"/>
    </row>
    <row r="24" spans="2:19" x14ac:dyDescent="0.2">
      <c r="B24" s="105" t="s">
        <v>20</v>
      </c>
      <c r="C24" s="104">
        <f>'Reliquidación CUSSR'!I25</f>
        <v>-277663.43986946327</v>
      </c>
      <c r="D24" s="119"/>
      <c r="E24" s="119"/>
      <c r="F24" s="105" t="s">
        <v>14</v>
      </c>
      <c r="G24" s="104">
        <f t="shared" si="0"/>
        <v>-773338.03440699447</v>
      </c>
      <c r="H24" s="106"/>
      <c r="K24" s="119"/>
      <c r="L24" s="119"/>
      <c r="M24" s="119"/>
      <c r="N24" s="119"/>
      <c r="O24" s="119"/>
      <c r="P24" s="119"/>
      <c r="Q24" s="119"/>
      <c r="R24" s="119"/>
      <c r="S24" s="101"/>
    </row>
    <row r="25" spans="2:19" x14ac:dyDescent="0.2">
      <c r="B25" s="105" t="s">
        <v>43</v>
      </c>
      <c r="C25" s="104">
        <f>'Reliquidación CUSSR'!I26</f>
        <v>-601490.88890351122</v>
      </c>
      <c r="D25" s="119"/>
      <c r="E25" s="119"/>
      <c r="F25" s="105" t="s">
        <v>24</v>
      </c>
      <c r="G25" s="104">
        <f t="shared" si="0"/>
        <v>-99201.394171477266</v>
      </c>
      <c r="H25" s="106"/>
      <c r="K25" s="119"/>
      <c r="L25" s="119"/>
      <c r="M25" s="119"/>
      <c r="N25" s="119"/>
      <c r="O25" s="119"/>
      <c r="P25" s="119"/>
      <c r="Q25" s="119"/>
      <c r="R25" s="119"/>
      <c r="S25" s="101"/>
    </row>
    <row r="26" spans="2:19" x14ac:dyDescent="0.2">
      <c r="B26" s="105" t="s">
        <v>18</v>
      </c>
      <c r="C26" s="104">
        <f>'Reliquidación CUSSR'!I27</f>
        <v>-136487.64299628825</v>
      </c>
      <c r="D26" s="119"/>
      <c r="E26" s="119"/>
      <c r="F26" s="105" t="s">
        <v>36</v>
      </c>
      <c r="G26" s="104">
        <f t="shared" si="0"/>
        <v>165842.54426120708</v>
      </c>
      <c r="H26" s="106"/>
      <c r="K26" s="119"/>
      <c r="L26" s="119"/>
      <c r="M26" s="119"/>
      <c r="N26" s="119"/>
      <c r="O26" s="119"/>
      <c r="P26" s="119"/>
      <c r="Q26" s="119"/>
      <c r="R26" s="119"/>
      <c r="S26" s="101"/>
    </row>
    <row r="27" spans="2:19" x14ac:dyDescent="0.2">
      <c r="B27" s="105" t="s">
        <v>35</v>
      </c>
      <c r="C27" s="104">
        <f>'Reliquidación CUSSR'!I28</f>
        <v>-121077.27759704785</v>
      </c>
      <c r="D27" s="119"/>
      <c r="E27" s="119"/>
      <c r="F27" s="105" t="s">
        <v>39</v>
      </c>
      <c r="G27" s="104">
        <f t="shared" si="0"/>
        <v>-1284529.3534738414</v>
      </c>
      <c r="H27" s="106"/>
      <c r="K27" s="119"/>
      <c r="L27" s="119"/>
      <c r="M27" s="119"/>
      <c r="N27" s="119"/>
      <c r="O27" s="119"/>
      <c r="P27" s="119"/>
      <c r="Q27" s="119"/>
      <c r="R27" s="119"/>
      <c r="S27" s="101"/>
    </row>
    <row r="28" spans="2:19" x14ac:dyDescent="0.2">
      <c r="B28" s="105" t="s">
        <v>38</v>
      </c>
      <c r="C28" s="104">
        <f>'Reliquidación CUSSR'!I29</f>
        <v>-102425.21657308075</v>
      </c>
      <c r="D28" s="119"/>
      <c r="E28" s="119"/>
      <c r="F28" s="105" t="s">
        <v>40</v>
      </c>
      <c r="G28" s="104">
        <f t="shared" si="0"/>
        <v>-484354.37759056222</v>
      </c>
      <c r="H28" s="106"/>
      <c r="K28" s="119"/>
      <c r="L28" s="119"/>
      <c r="M28" s="119"/>
      <c r="N28" s="119"/>
      <c r="O28" s="119"/>
      <c r="P28" s="119"/>
      <c r="Q28" s="119"/>
      <c r="R28" s="119"/>
      <c r="S28" s="101"/>
    </row>
    <row r="29" spans="2:19" x14ac:dyDescent="0.2">
      <c r="B29" s="105" t="s">
        <v>42</v>
      </c>
      <c r="C29" s="104">
        <f>'Reliquidación CUSSR'!I30</f>
        <v>-383800.65008950001</v>
      </c>
      <c r="D29" s="119"/>
      <c r="E29" s="119"/>
      <c r="F29" s="105" t="s">
        <v>104</v>
      </c>
      <c r="G29" s="104">
        <f t="shared" si="0"/>
        <v>18506.53702772336</v>
      </c>
      <c r="H29" s="106"/>
      <c r="K29" s="119"/>
      <c r="L29" s="119"/>
      <c r="M29" s="119"/>
      <c r="N29" s="119"/>
      <c r="O29" s="119"/>
      <c r="P29" s="119"/>
      <c r="Q29" s="119"/>
      <c r="R29" s="119"/>
      <c r="S29" s="101"/>
    </row>
    <row r="30" spans="2:19" x14ac:dyDescent="0.2">
      <c r="B30" s="105" t="s">
        <v>15</v>
      </c>
      <c r="C30" s="104">
        <f>'Reliquidación CUSSR'!I31</f>
        <v>-152542.44553171317</v>
      </c>
      <c r="D30" s="119"/>
      <c r="E30" s="119"/>
      <c r="F30" s="105" t="s">
        <v>19</v>
      </c>
      <c r="G30" s="104">
        <f t="shared" si="0"/>
        <v>0</v>
      </c>
      <c r="H30" s="106"/>
      <c r="K30" s="119"/>
      <c r="L30" s="119"/>
      <c r="M30" s="119"/>
      <c r="N30" s="119"/>
      <c r="O30" s="119"/>
      <c r="P30" s="119"/>
      <c r="Q30" s="119"/>
      <c r="R30" s="119"/>
      <c r="S30" s="101"/>
    </row>
    <row r="31" spans="2:19" x14ac:dyDescent="0.2">
      <c r="B31" s="105" t="s">
        <v>14</v>
      </c>
      <c r="C31" s="104">
        <f>'Reliquidación CUSSR'!I32</f>
        <v>-773338.03440699447</v>
      </c>
      <c r="D31" s="119"/>
      <c r="E31" s="119"/>
      <c r="F31" s="105" t="s">
        <v>23</v>
      </c>
      <c r="G31" s="104">
        <f t="shared" si="0"/>
        <v>206.137335404</v>
      </c>
      <c r="H31" s="106"/>
      <c r="K31" s="119"/>
      <c r="L31" s="119"/>
      <c r="M31" s="119"/>
      <c r="N31" s="119"/>
      <c r="O31" s="119"/>
      <c r="P31" s="119"/>
      <c r="Q31" s="119"/>
      <c r="R31" s="119"/>
      <c r="S31" s="101"/>
    </row>
    <row r="32" spans="2:19" x14ac:dyDescent="0.2">
      <c r="B32" s="105" t="s">
        <v>24</v>
      </c>
      <c r="C32" s="104">
        <f>'Reliquidación CUSSR'!I33</f>
        <v>-99201.394171477266</v>
      </c>
      <c r="D32" s="119"/>
      <c r="E32" s="119"/>
      <c r="F32" s="105" t="s">
        <v>25</v>
      </c>
      <c r="G32" s="104">
        <f t="shared" si="0"/>
        <v>169731.44668754871</v>
      </c>
      <c r="H32" s="101"/>
      <c r="K32" s="119"/>
      <c r="L32" s="119"/>
      <c r="M32" s="119"/>
      <c r="N32" s="119"/>
      <c r="O32" s="119"/>
      <c r="P32" s="119"/>
      <c r="Q32" s="119"/>
      <c r="R32" s="119"/>
      <c r="S32" s="101"/>
    </row>
    <row r="33" spans="2:22" x14ac:dyDescent="0.2">
      <c r="B33" s="105" t="s">
        <v>36</v>
      </c>
      <c r="C33" s="104">
        <f>'Reliquidación CUSSR'!I34</f>
        <v>165842.54426120708</v>
      </c>
      <c r="D33" s="119"/>
      <c r="E33" s="119"/>
      <c r="F33" s="105" t="s">
        <v>26</v>
      </c>
      <c r="G33" s="104">
        <f t="shared" si="0"/>
        <v>652955.25047901005</v>
      </c>
      <c r="H33" s="91"/>
      <c r="K33" s="119"/>
      <c r="L33" s="119"/>
      <c r="M33" s="119"/>
      <c r="N33" s="119"/>
      <c r="O33" s="119"/>
      <c r="P33" s="119"/>
      <c r="Q33" s="119"/>
      <c r="R33" s="119"/>
      <c r="S33" s="101"/>
    </row>
    <row r="34" spans="2:22" x14ac:dyDescent="0.2">
      <c r="B34" s="105" t="s">
        <v>39</v>
      </c>
      <c r="C34" s="104">
        <f>'Reliquidación CUSSR'!I35</f>
        <v>-1284529.3534738414</v>
      </c>
      <c r="D34" s="119"/>
      <c r="E34" s="119"/>
      <c r="F34" s="103" t="s">
        <v>41</v>
      </c>
      <c r="G34" s="104">
        <f t="shared" si="0"/>
        <v>2478.7924338033358</v>
      </c>
      <c r="H34" s="91"/>
      <c r="K34" s="119"/>
      <c r="L34" s="119"/>
      <c r="M34" s="119"/>
      <c r="N34" s="119"/>
      <c r="O34" s="119"/>
      <c r="P34" s="119"/>
      <c r="Q34" s="119"/>
      <c r="R34" s="119"/>
      <c r="S34" s="101"/>
    </row>
    <row r="35" spans="2:22" x14ac:dyDescent="0.2">
      <c r="B35" s="105" t="s">
        <v>40</v>
      </c>
      <c r="C35" s="104">
        <f>'Reliquidación CUSSR'!I36</f>
        <v>-484354.37759056222</v>
      </c>
      <c r="D35" s="119"/>
      <c r="E35" s="119"/>
      <c r="F35" s="100" t="s">
        <v>121</v>
      </c>
      <c r="G35" s="99">
        <f>SUM(G8:G34)</f>
        <v>1.4452325558522716E-8</v>
      </c>
      <c r="H35" s="91"/>
      <c r="K35" s="119"/>
      <c r="L35" s="119"/>
      <c r="M35" s="119"/>
      <c r="N35" s="119"/>
      <c r="O35" s="119"/>
      <c r="P35" s="119"/>
      <c r="Q35" s="119"/>
      <c r="R35" s="119"/>
      <c r="S35" s="101"/>
    </row>
    <row r="36" spans="2:22" x14ac:dyDescent="0.2">
      <c r="B36" s="105" t="s">
        <v>104</v>
      </c>
      <c r="C36" s="104">
        <f>'Reliquidación CUSSR'!I37</f>
        <v>18506.53702772336</v>
      </c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01"/>
      <c r="T36" s="97"/>
      <c r="U36" s="91"/>
      <c r="V36" s="91"/>
    </row>
    <row r="37" spans="2:22" x14ac:dyDescent="0.2">
      <c r="B37" s="105" t="s">
        <v>32</v>
      </c>
      <c r="C37" s="104">
        <f>'Reliquidación CUSSR'!I38</f>
        <v>456722.63450234639</v>
      </c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01"/>
      <c r="T37" s="97"/>
      <c r="U37" s="91"/>
      <c r="V37" s="91"/>
    </row>
    <row r="38" spans="2:22" x14ac:dyDescent="0.2">
      <c r="B38" s="105" t="s">
        <v>31</v>
      </c>
      <c r="C38" s="104">
        <f>'Reliquidación CUSSR'!I39</f>
        <v>692147.51397645636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01"/>
      <c r="T38" s="97"/>
      <c r="U38" s="91"/>
      <c r="V38" s="91"/>
    </row>
    <row r="39" spans="2:22" x14ac:dyDescent="0.2">
      <c r="B39" s="105" t="s">
        <v>30</v>
      </c>
      <c r="C39" s="104">
        <f>'Reliquidación CUSSR'!I40</f>
        <v>1201240.850516007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01"/>
      <c r="T39" s="97"/>
      <c r="U39" s="91"/>
      <c r="V39" s="91"/>
    </row>
    <row r="40" spans="2:22" x14ac:dyDescent="0.2">
      <c r="B40" s="105" t="s">
        <v>19</v>
      </c>
      <c r="C40" s="104">
        <f>'Reliquidación CUSSR'!I41</f>
        <v>0</v>
      </c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01"/>
      <c r="T40" s="97"/>
      <c r="U40" s="91"/>
      <c r="V40" s="91"/>
    </row>
    <row r="41" spans="2:22" x14ac:dyDescent="0.2">
      <c r="B41" s="105" t="s">
        <v>23</v>
      </c>
      <c r="C41" s="104">
        <f>'Reliquidación CUSSR'!I42</f>
        <v>206.137335404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01"/>
      <c r="T41" s="97"/>
      <c r="U41" s="91"/>
      <c r="V41" s="91"/>
    </row>
    <row r="42" spans="2:22" x14ac:dyDescent="0.2">
      <c r="B42" s="105" t="s">
        <v>25</v>
      </c>
      <c r="C42" s="104">
        <f>'Reliquidación CUSSR'!I43</f>
        <v>169731.44668754871</v>
      </c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01"/>
      <c r="T42" s="97"/>
      <c r="U42" s="91"/>
      <c r="V42" s="91"/>
    </row>
    <row r="43" spans="2:22" x14ac:dyDescent="0.2">
      <c r="B43" s="105" t="s">
        <v>26</v>
      </c>
      <c r="C43" s="104">
        <f>'Reliquidación CUSSR'!I44</f>
        <v>652955.25047901005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01"/>
      <c r="T43" s="97"/>
      <c r="U43" s="91"/>
      <c r="V43" s="91"/>
    </row>
    <row r="44" spans="2:22" x14ac:dyDescent="0.2">
      <c r="B44" s="103" t="s">
        <v>41</v>
      </c>
      <c r="C44" s="102">
        <f>'Reliquidación CUSSR'!I45</f>
        <v>2478.7924338033358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01"/>
      <c r="T44" s="97"/>
      <c r="U44" s="91"/>
      <c r="V44" s="91"/>
    </row>
    <row r="45" spans="2:22" x14ac:dyDescent="0.2">
      <c r="B45" s="100" t="s">
        <v>121</v>
      </c>
      <c r="C45" s="99">
        <f>SUM(C8:C44)</f>
        <v>1.3521002983907238E-8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98"/>
      <c r="T45" s="97"/>
      <c r="U45" s="91"/>
      <c r="V45" s="91"/>
    </row>
    <row r="46" spans="2:22" x14ac:dyDescent="0.2">
      <c r="B46" s="97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T46" s="97"/>
      <c r="U46" s="91"/>
    </row>
    <row r="47" spans="2:22" x14ac:dyDescent="0.2">
      <c r="B47" s="97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9" spans="2:18" x14ac:dyDescent="0.2">
      <c r="B49" s="90" t="s">
        <v>126</v>
      </c>
    </row>
    <row r="51" spans="2:18" x14ac:dyDescent="0.2">
      <c r="B51" s="134" t="s">
        <v>125</v>
      </c>
      <c r="C51" s="138" t="s">
        <v>124</v>
      </c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40"/>
      <c r="R51" s="113" t="s">
        <v>52</v>
      </c>
    </row>
    <row r="52" spans="2:18" x14ac:dyDescent="0.2">
      <c r="B52" s="135"/>
      <c r="C52" s="68" t="s">
        <v>10</v>
      </c>
      <c r="D52" s="68" t="s">
        <v>16</v>
      </c>
      <c r="E52" s="68" t="s">
        <v>11</v>
      </c>
      <c r="F52" s="68" t="s">
        <v>21</v>
      </c>
      <c r="G52" s="68" t="s">
        <v>20</v>
      </c>
      <c r="H52" s="68" t="s">
        <v>43</v>
      </c>
      <c r="I52" s="68" t="s">
        <v>18</v>
      </c>
      <c r="J52" s="68" t="s">
        <v>35</v>
      </c>
      <c r="K52" s="68" t="s">
        <v>38</v>
      </c>
      <c r="L52" s="68" t="s">
        <v>42</v>
      </c>
      <c r="M52" s="68" t="s">
        <v>15</v>
      </c>
      <c r="N52" s="68" t="s">
        <v>14</v>
      </c>
      <c r="O52" s="68" t="s">
        <v>24</v>
      </c>
      <c r="P52" s="68" t="s">
        <v>39</v>
      </c>
      <c r="Q52" s="67" t="s">
        <v>40</v>
      </c>
      <c r="R52" s="112"/>
    </row>
    <row r="53" spans="2:18" ht="12" customHeight="1" x14ac:dyDescent="0.2">
      <c r="B53" s="86" t="s">
        <v>27</v>
      </c>
      <c r="C53" s="95" cm="1">
        <f t="array" ref="C53">IFERROR((VLOOKUP($B53,$F$8:$G$34,2,0)*(-(VLOOKUP(C$52,$F$8:$G$34,2,0))))/SUMPRODUCT(($G$8:$G$34&gt;0)*($G$8:$G$34)),0)</f>
        <v>15755.020420902474</v>
      </c>
      <c r="D53" s="95" cm="1">
        <f t="array" ref="D53">IFERROR((VLOOKUP($B53,$F$8:$G$34,2,0)*(-(VLOOKUP(D$52,$F$8:$G$34,2,0))))/SUMPRODUCT(($G$8:$G$34&gt;0)*($G$8:$G$34)),0)</f>
        <v>3562.9190608663125</v>
      </c>
      <c r="E53" s="95" cm="1">
        <f t="array" ref="E53">IFERROR((VLOOKUP($B53,$F$8:$G$34,2,0)*(-(VLOOKUP(E$52,$F$8:$G$34,2,0))))/SUMPRODUCT(($G$8:$G$34&gt;0)*($G$8:$G$34)),0)</f>
        <v>91445.316517469124</v>
      </c>
      <c r="F53" s="95" cm="1">
        <f t="array" ref="F53">IFERROR((VLOOKUP($B53,$F$8:$G$34,2,0)*(-(VLOOKUP(F$52,$F$8:$G$34,2,0))))/SUMPRODUCT(($G$8:$G$34&gt;0)*($G$8:$G$34)),0)</f>
        <v>9840.2342503897289</v>
      </c>
      <c r="G53" s="95" cm="1">
        <f t="array" ref="G53">IFERROR((VLOOKUP($B53,$F$8:$G$34,2,0)*(-(VLOOKUP(G$52,$F$8:$G$34,2,0))))/SUMPRODUCT(($G$8:$G$34&gt;0)*($G$8:$G$34)),0)</f>
        <v>3385.0668940880523</v>
      </c>
      <c r="H53" s="95" cm="1">
        <f t="array" ref="H53">IFERROR((VLOOKUP($B53,$F$8:$G$34,2,0)*(-(VLOOKUP(H$52,$F$8:$G$34,2,0))))/SUMPRODUCT(($G$8:$G$34&gt;0)*($G$8:$G$34)),0)</f>
        <v>7332.9311776879495</v>
      </c>
      <c r="I53" s="95" cm="1">
        <f t="array" ref="I53">IFERROR((VLOOKUP($B53,$F$8:$G$34,2,0)*(-(VLOOKUP(I$52,$F$8:$G$34,2,0))))/SUMPRODUCT(($G$8:$G$34&gt;0)*($G$8:$G$34)),0)</f>
        <v>1663.956198108227</v>
      </c>
      <c r="J53" s="95" cm="1">
        <f t="array" ref="J53">IFERROR((VLOOKUP($B53,$F$8:$G$34,2,0)*(-(VLOOKUP(J$52,$F$8:$G$34,2,0))))/SUMPRODUCT(($G$8:$G$34&gt;0)*($G$8:$G$34)),0)</f>
        <v>1476.0844431400797</v>
      </c>
      <c r="K53" s="95" cm="1">
        <f t="array" ref="K53">IFERROR((VLOOKUP($B53,$F$8:$G$34,2,0)*(-(VLOOKUP(K$52,$F$8:$G$34,2,0))))/SUMPRODUCT(($G$8:$G$34&gt;0)*($G$8:$G$34)),0)</f>
        <v>1248.6923374007565</v>
      </c>
      <c r="L53" s="95" cm="1">
        <f t="array" ref="L53">IFERROR((VLOOKUP($B53,$F$8:$G$34,2,0)*(-(VLOOKUP(L$52,$F$8:$G$34,2,0))))/SUMPRODUCT(($G$8:$G$34&gt;0)*($G$8:$G$34)),0)</f>
        <v>4679.013107228745</v>
      </c>
      <c r="M53" s="95" cm="1">
        <f t="array" ref="M53">IFERROR((VLOOKUP($B53,$F$8:$G$34,2,0)*(-(VLOOKUP(M$52,$F$8:$G$34,2,0))))/SUMPRODUCT(($G$8:$G$34&gt;0)*($G$8:$G$34)),0)</f>
        <v>1859.6844530752387</v>
      </c>
      <c r="N53" s="95" cm="1">
        <f t="array" ref="N53">IFERROR((VLOOKUP($B53,$F$8:$G$34,2,0)*(-(VLOOKUP(N$52,$F$8:$G$34,2,0))))/SUMPRODUCT(($G$8:$G$34&gt;0)*($G$8:$G$34)),0)</f>
        <v>9427.9642269106062</v>
      </c>
      <c r="O53" s="95" cm="1">
        <f t="array" ref="O53">IFERROR((VLOOKUP($B53,$F$8:$G$34,2,0)*(-(VLOOKUP(O$52,$F$8:$G$34,2,0))))/SUMPRODUCT(($G$8:$G$34&gt;0)*($G$8:$G$34)),0)</f>
        <v>1209.3898837207987</v>
      </c>
      <c r="P53" s="95" cm="1">
        <f t="array" ref="P53">IFERROR((VLOOKUP($B53,$F$8:$G$34,2,0)*(-(VLOOKUP(P$52,$F$8:$G$34,2,0))))/SUMPRODUCT(($G$8:$G$34&gt;0)*($G$8:$G$34)),0)</f>
        <v>15660.029966396871</v>
      </c>
      <c r="Q53" s="95" cm="1">
        <f t="array" ref="Q53">IFERROR((VLOOKUP($B53,$F$8:$G$34,2,0)*(-(VLOOKUP(Q$52,$F$8:$G$34,2,0))))/SUMPRODUCT(($G$8:$G$34&gt;0)*($G$8:$G$34)),0)</f>
        <v>5904.8896367459874</v>
      </c>
      <c r="R53" s="94">
        <f t="shared" ref="R53:R64" si="1">SUM(C53:Q53)</f>
        <v>174451.19257413095</v>
      </c>
    </row>
    <row r="54" spans="2:18" x14ac:dyDescent="0.2">
      <c r="B54" s="87" t="s">
        <v>34</v>
      </c>
      <c r="C54" s="95" cm="1">
        <f t="array" ref="C54">IFERROR((VLOOKUP($B54,$F$8:$G$34,2,0)*(-(VLOOKUP(C$52,$F$8:$G$34,2,0))))/SUMPRODUCT(($G$8:$G$34&gt;0)*($G$8:$G$34)),0)</f>
        <v>3415.5962291704991</v>
      </c>
      <c r="D54" s="95" cm="1">
        <f t="array" ref="D54">IFERROR((VLOOKUP($B54,$F$8:$G$34,2,0)*(-(VLOOKUP(D$52,$F$8:$G$34,2,0))))/SUMPRODUCT(($G$8:$G$34&gt;0)*($G$8:$G$34)),0)</f>
        <v>772.42000226094183</v>
      </c>
      <c r="E54" s="95" cm="1">
        <f t="array" ref="E54">IFERROR((VLOOKUP($B54,$F$8:$G$34,2,0)*(-(VLOOKUP(E$52,$F$8:$G$34,2,0))))/SUMPRODUCT(($G$8:$G$34&gt;0)*($G$8:$G$34)),0)</f>
        <v>19824.809484726706</v>
      </c>
      <c r="F54" s="95" cm="1">
        <f t="array" ref="F54">IFERROR((VLOOKUP($B54,$F$8:$G$34,2,0)*(-(VLOOKUP(F$52,$F$8:$G$34,2,0))))/SUMPRODUCT(($G$8:$G$34&gt;0)*($G$8:$G$34)),0)</f>
        <v>2133.3052006200005</v>
      </c>
      <c r="G54" s="95" cm="1">
        <f t="array" ref="G54">IFERROR((VLOOKUP($B54,$F$8:$G$34,2,0)*(-(VLOOKUP(G$52,$F$8:$G$34,2,0))))/SUMPRODUCT(($G$8:$G$34&gt;0)*($G$8:$G$34)),0)</f>
        <v>733.86269329092715</v>
      </c>
      <c r="H54" s="95" cm="1">
        <f t="array" ref="H54">IFERROR((VLOOKUP($B54,$F$8:$G$34,2,0)*(-(VLOOKUP(H$52,$F$8:$G$34,2,0))))/SUMPRODUCT(($G$8:$G$34&gt;0)*($G$8:$G$34)),0)</f>
        <v>1589.7365671483562</v>
      </c>
      <c r="I54" s="95" cm="1">
        <f t="array" ref="I54">IFERROR((VLOOKUP($B54,$F$8:$G$34,2,0)*(-(VLOOKUP(I$52,$F$8:$G$34,2,0))))/SUMPRODUCT(($G$8:$G$34&gt;0)*($G$8:$G$34)),0)</f>
        <v>360.73596630970184</v>
      </c>
      <c r="J54" s="95" cm="1">
        <f t="array" ref="J54">IFERROR((VLOOKUP($B54,$F$8:$G$34,2,0)*(-(VLOOKUP(J$52,$F$8:$G$34,2,0))))/SUMPRODUCT(($G$8:$G$34&gt;0)*($G$8:$G$34)),0)</f>
        <v>320.00646925455999</v>
      </c>
      <c r="K54" s="95" cm="1">
        <f t="array" ref="K54">IFERROR((VLOOKUP($B54,$F$8:$G$34,2,0)*(-(VLOOKUP(K$52,$F$8:$G$34,2,0))))/SUMPRODUCT(($G$8:$G$34&gt;0)*($G$8:$G$34)),0)</f>
        <v>270.70919142457154</v>
      </c>
      <c r="L54" s="95" cm="1">
        <f t="array" ref="L54">IFERROR((VLOOKUP($B54,$F$8:$G$34,2,0)*(-(VLOOKUP(L$52,$F$8:$G$34,2,0))))/SUMPRODUCT(($G$8:$G$34&gt;0)*($G$8:$G$34)),0)</f>
        <v>1014.3826601510929</v>
      </c>
      <c r="M54" s="95" cm="1">
        <f t="array" ref="M54">IFERROR((VLOOKUP($B54,$F$8:$G$34,2,0)*(-(VLOOKUP(M$52,$F$8:$G$34,2,0))))/SUMPRODUCT(($G$8:$G$34&gt;0)*($G$8:$G$34)),0)</f>
        <v>403.16870658850837</v>
      </c>
      <c r="N54" s="95" cm="1">
        <f t="array" ref="N54">IFERROR((VLOOKUP($B54,$F$8:$G$34,2,0)*(-(VLOOKUP(N$52,$F$8:$G$34,2,0))))/SUMPRODUCT(($G$8:$G$34&gt;0)*($G$8:$G$34)),0)</f>
        <v>2043.927472126097</v>
      </c>
      <c r="O54" s="95" cm="1">
        <f t="array" ref="O54">IFERROR((VLOOKUP($B54,$F$8:$G$34,2,0)*(-(VLOOKUP(O$52,$F$8:$G$34,2,0))))/SUMPRODUCT(($G$8:$G$34&gt;0)*($G$8:$G$34)),0)</f>
        <v>262.18864946397133</v>
      </c>
      <c r="P54" s="95" cm="1">
        <f t="array" ref="P54">IFERROR((VLOOKUP($B54,$F$8:$G$34,2,0)*(-(VLOOKUP(P$52,$F$8:$G$34,2,0))))/SUMPRODUCT(($G$8:$G$34&gt;0)*($G$8:$G$34)),0)</f>
        <v>3395.0028545160258</v>
      </c>
      <c r="Q54" s="95" cm="1">
        <f t="array" ref="Q54">IFERROR((VLOOKUP($B54,$F$8:$G$34,2,0)*(-(VLOOKUP(Q$52,$F$8:$G$34,2,0))))/SUMPRODUCT(($G$8:$G$34&gt;0)*($G$8:$G$34)),0)</f>
        <v>1280.1455179441941</v>
      </c>
      <c r="R54" s="94">
        <f t="shared" si="1"/>
        <v>37819.997664996146</v>
      </c>
    </row>
    <row r="55" spans="2:18" x14ac:dyDescent="0.2">
      <c r="B55" s="86" t="s">
        <v>123</v>
      </c>
      <c r="C55" s="95" cm="1">
        <f t="array" ref="C55">IFERROR((VLOOKUP($B55,$F$8:$G$34,2,0)*(-(VLOOKUP(C$52,$F$8:$G$34,2,0))))/SUMPRODUCT(($G$8:$G$34&gt;0)*($G$8:$G$34)),0)</f>
        <v>1125404.0689820827</v>
      </c>
      <c r="D55" s="95" cm="1">
        <f t="array" ref="D55">IFERROR((VLOOKUP($B55,$F$8:$G$34,2,0)*(-(VLOOKUP(D$52,$F$8:$G$34,2,0))))/SUMPRODUCT(($G$8:$G$34&gt;0)*($G$8:$G$34)),0)</f>
        <v>254504.50087852599</v>
      </c>
      <c r="E55" s="95" cm="1">
        <f t="array" ref="E55">IFERROR((VLOOKUP($B55,$F$8:$G$34,2,0)*(-(VLOOKUP(E$52,$F$8:$G$34,2,0))))/SUMPRODUCT(($G$8:$G$34&gt;0)*($G$8:$G$34)),0)</f>
        <v>6532072.225154195</v>
      </c>
      <c r="F55" s="95" cm="1">
        <f t="array" ref="F55">IFERROR((VLOOKUP($B55,$F$8:$G$34,2,0)*(-(VLOOKUP(F$52,$F$8:$G$34,2,0))))/SUMPRODUCT(($G$8:$G$34&gt;0)*($G$8:$G$34)),0)</f>
        <v>702902.27300708916</v>
      </c>
      <c r="G55" s="95" cm="1">
        <f t="array" ref="G55">IFERROR((VLOOKUP($B55,$F$8:$G$34,2,0)*(-(VLOOKUP(G$52,$F$8:$G$34,2,0))))/SUMPRODUCT(($G$8:$G$34&gt;0)*($G$8:$G$34)),0)</f>
        <v>241800.26141565712</v>
      </c>
      <c r="H55" s="95" cm="1">
        <f t="array" ref="H55">IFERROR((VLOOKUP($B55,$F$8:$G$34,2,0)*(-(VLOOKUP(H$52,$F$8:$G$34,2,0))))/SUMPRODUCT(($G$8:$G$34&gt;0)*($G$8:$G$34)),0)</f>
        <v>523801.96054756211</v>
      </c>
      <c r="I55" s="95" cm="1">
        <f t="array" ref="I55">IFERROR((VLOOKUP($B55,$F$8:$G$34,2,0)*(-(VLOOKUP(I$52,$F$8:$G$34,2,0))))/SUMPRODUCT(($G$8:$G$34&gt;0)*($G$8:$G$34)),0)</f>
        <v>118858.81616976589</v>
      </c>
      <c r="J55" s="95" cm="1">
        <f t="array" ref="J55">IFERROR((VLOOKUP($B55,$F$8:$G$34,2,0)*(-(VLOOKUP(J$52,$F$8:$G$34,2,0))))/SUMPRODUCT(($G$8:$G$34&gt;0)*($G$8:$G$34)),0)</f>
        <v>105438.86292061317</v>
      </c>
      <c r="K55" s="95" cm="1">
        <f t="array" ref="K55">IFERROR((VLOOKUP($B55,$F$8:$G$34,2,0)*(-(VLOOKUP(K$52,$F$8:$G$34,2,0))))/SUMPRODUCT(($G$8:$G$34&gt;0)*($G$8:$G$34)),0)</f>
        <v>89195.913421549354</v>
      </c>
      <c r="L55" s="95" cm="1">
        <f t="array" ref="L55">IFERROR((VLOOKUP($B55,$F$8:$G$34,2,0)*(-(VLOOKUP(L$52,$F$8:$G$34,2,0))))/SUMPRODUCT(($G$8:$G$34&gt;0)*($G$8:$G$34)),0)</f>
        <v>334228.72513129341</v>
      </c>
      <c r="M55" s="95" cm="1">
        <f t="array" ref="M55">IFERROR((VLOOKUP($B55,$F$8:$G$34,2,0)*(-(VLOOKUP(M$52,$F$8:$G$34,2,0))))/SUMPRODUCT(($G$8:$G$34&gt;0)*($G$8:$G$34)),0)</f>
        <v>132839.97066337714</v>
      </c>
      <c r="N55" s="95" cm="1">
        <f t="array" ref="N55">IFERROR((VLOOKUP($B55,$F$8:$G$34,2,0)*(-(VLOOKUP(N$52,$F$8:$G$34,2,0))))/SUMPRODUCT(($G$8:$G$34&gt;0)*($G$8:$G$34)),0)</f>
        <v>673453.2244151124</v>
      </c>
      <c r="O55" s="95" cm="1">
        <f t="array" ref="O55">IFERROR((VLOOKUP($B55,$F$8:$G$34,2,0)*(-(VLOOKUP(O$52,$F$8:$G$34,2,0))))/SUMPRODUCT(($G$8:$G$34&gt;0)*($G$8:$G$34)),0)</f>
        <v>86388.481878412655</v>
      </c>
      <c r="P55" s="95" cm="1">
        <f t="array" ref="P55">IFERROR((VLOOKUP($B55,$F$8:$G$34,2,0)*(-(VLOOKUP(P$52,$F$8:$G$34,2,0))))/SUMPRODUCT(($G$8:$G$34&gt;0)*($G$8:$G$34)),0)</f>
        <v>1118618.7623839881</v>
      </c>
      <c r="Q55" s="95" cm="1">
        <f t="array" ref="Q55">IFERROR((VLOOKUP($B55,$F$8:$G$34,2,0)*(-(VLOOKUP(Q$52,$F$8:$G$34,2,0))))/SUMPRODUCT(($G$8:$G$34&gt;0)*($G$8:$G$34)),0)</f>
        <v>421794.87214548502</v>
      </c>
      <c r="R55" s="94">
        <f t="shared" si="1"/>
        <v>12461302.919114711</v>
      </c>
    </row>
    <row r="56" spans="2:18" x14ac:dyDescent="0.2">
      <c r="B56" s="86" t="s">
        <v>28</v>
      </c>
      <c r="C56" s="95" cm="1">
        <f t="array" ref="C56">IFERROR((VLOOKUP($B56,$F$8:$G$34,2,0)*(-(VLOOKUP(C$52,$F$8:$G$34,2,0))))/SUMPRODUCT(($G$8:$G$34&gt;0)*($G$8:$G$34)),0)</f>
        <v>35142.994574297059</v>
      </c>
      <c r="D56" s="95" cm="1">
        <f t="array" ref="D56">IFERROR((VLOOKUP($B56,$F$8:$G$34,2,0)*(-(VLOOKUP(D$52,$F$8:$G$34,2,0))))/SUMPRODUCT(($G$8:$G$34&gt;0)*($G$8:$G$34)),0)</f>
        <v>7947.4124361377408</v>
      </c>
      <c r="E56" s="95" cm="1">
        <f t="array" ref="E56">IFERROR((VLOOKUP($B56,$F$8:$G$34,2,0)*(-(VLOOKUP(E$52,$F$8:$G$34,2,0))))/SUMPRODUCT(($G$8:$G$34&gt;0)*($G$8:$G$34)),0)</f>
        <v>203977.0293128069</v>
      </c>
      <c r="F56" s="95" cm="1">
        <f t="array" ref="F56">IFERROR((VLOOKUP($B56,$F$8:$G$34,2,0)*(-(VLOOKUP(F$52,$F$8:$G$34,2,0))))/SUMPRODUCT(($G$8:$G$34&gt;0)*($G$8:$G$34)),0)</f>
        <v>21949.530348590273</v>
      </c>
      <c r="G56" s="95" cm="1">
        <f t="array" ref="G56">IFERROR((VLOOKUP($B56,$F$8:$G$34,2,0)*(-(VLOOKUP(G$52,$F$8:$G$34,2,0))))/SUMPRODUCT(($G$8:$G$34&gt;0)*($G$8:$G$34)),0)</f>
        <v>7550.6971311024627</v>
      </c>
      <c r="H56" s="95" cm="1">
        <f t="array" ref="H56">IFERROR((VLOOKUP($B56,$F$8:$G$34,2,0)*(-(VLOOKUP(H$52,$F$8:$G$34,2,0))))/SUMPRODUCT(($G$8:$G$34&gt;0)*($G$8:$G$34)),0)</f>
        <v>16356.764618932799</v>
      </c>
      <c r="I56" s="95" cm="1">
        <f t="array" ref="I56">IFERROR((VLOOKUP($B56,$F$8:$G$34,2,0)*(-(VLOOKUP(I$52,$F$8:$G$34,2,0))))/SUMPRODUCT(($G$8:$G$34&gt;0)*($G$8:$G$34)),0)</f>
        <v>3711.6044333654859</v>
      </c>
      <c r="J56" s="95" cm="1">
        <f t="array" ref="J56">IFERROR((VLOOKUP($B56,$F$8:$G$34,2,0)*(-(VLOOKUP(J$52,$F$8:$G$34,2,0))))/SUMPRODUCT(($G$8:$G$34&gt;0)*($G$8:$G$34)),0)</f>
        <v>3292.5395328370309</v>
      </c>
      <c r="K56" s="95" cm="1">
        <f t="array" ref="K56">IFERROR((VLOOKUP($B56,$F$8:$G$34,2,0)*(-(VLOOKUP(K$52,$F$8:$G$34,2,0))))/SUMPRODUCT(($G$8:$G$34&gt;0)*($G$8:$G$34)),0)</f>
        <v>2785.3209241176864</v>
      </c>
      <c r="L56" s="95" cm="1">
        <f t="array" ref="L56">IFERROR((VLOOKUP($B56,$F$8:$G$34,2,0)*(-(VLOOKUP(L$52,$F$8:$G$34,2,0))))/SUMPRODUCT(($G$8:$G$34&gt;0)*($G$8:$G$34)),0)</f>
        <v>10436.960908171613</v>
      </c>
      <c r="M56" s="95" cm="1">
        <f t="array" ref="M56">IFERROR((VLOOKUP($B56,$F$8:$G$34,2,0)*(-(VLOOKUP(M$52,$F$8:$G$34,2,0))))/SUMPRODUCT(($G$8:$G$34&gt;0)*($G$8:$G$34)),0)</f>
        <v>4148.193966008459</v>
      </c>
      <c r="N56" s="95" cm="1">
        <f t="array" ref="N56">IFERROR((VLOOKUP($B56,$F$8:$G$34,2,0)*(-(VLOOKUP(N$52,$F$8:$G$34,2,0))))/SUMPRODUCT(($G$8:$G$34&gt;0)*($G$8:$G$34)),0)</f>
        <v>21029.924863404733</v>
      </c>
      <c r="O56" s="95" cm="1">
        <f t="array" ref="O56">IFERROR((VLOOKUP($B56,$F$8:$G$34,2,0)*(-(VLOOKUP(O$52,$F$8:$G$34,2,0))))/SUMPRODUCT(($G$8:$G$34&gt;0)*($G$8:$G$34)),0)</f>
        <v>2697.653255048921</v>
      </c>
      <c r="P56" s="95" cm="1">
        <f t="array" ref="P56">IFERROR((VLOOKUP($B56,$F$8:$G$34,2,0)*(-(VLOOKUP(P$52,$F$8:$G$34,2,0))))/SUMPRODUCT(($G$8:$G$34&gt;0)*($G$8:$G$34)),0)</f>
        <v>34931.109794835174</v>
      </c>
      <c r="Q56" s="95" cm="1">
        <f t="array" ref="Q56">IFERROR((VLOOKUP($B56,$F$8:$G$34,2,0)*(-(VLOOKUP(Q$52,$F$8:$G$34,2,0))))/SUMPRODUCT(($G$8:$G$34&gt;0)*($G$8:$G$34)),0)</f>
        <v>13171.389114207212</v>
      </c>
      <c r="R56" s="94">
        <f t="shared" si="1"/>
        <v>389129.12521386344</v>
      </c>
    </row>
    <row r="57" spans="2:18" x14ac:dyDescent="0.2">
      <c r="B57" s="86" t="s">
        <v>104</v>
      </c>
      <c r="C57" s="95" cm="1">
        <f t="array" ref="C57">IFERROR((VLOOKUP($B57,$F$8:$G$34,2,0)*(-(VLOOKUP(C$52,$F$8:$G$34,2,0))))/SUMPRODUCT(($G$8:$G$34&gt;0)*($G$8:$G$34)),0)</f>
        <v>1671.3607083429329</v>
      </c>
      <c r="D57" s="95" cm="1">
        <f t="array" ref="D57">IFERROR((VLOOKUP($B57,$F$8:$G$34,2,0)*(-(VLOOKUP(D$52,$F$8:$G$34,2,0))))/SUMPRODUCT(($G$8:$G$34&gt;0)*($G$8:$G$34)),0)</f>
        <v>377.96986397031588</v>
      </c>
      <c r="E57" s="95" cm="1">
        <f t="array" ref="E57">IFERROR((VLOOKUP($B57,$F$8:$G$34,2,0)*(-(VLOOKUP(E$52,$F$8:$G$34,2,0))))/SUMPRODUCT(($G$8:$G$34&gt;0)*($G$8:$G$34)),0)</f>
        <v>9700.9146866295268</v>
      </c>
      <c r="F57" s="95" cm="1">
        <f t="array" ref="F57">IFERROR((VLOOKUP($B57,$F$8:$G$34,2,0)*(-(VLOOKUP(F$52,$F$8:$G$34,2,0))))/SUMPRODUCT(($G$8:$G$34&gt;0)*($G$8:$G$34)),0)</f>
        <v>1043.8946093127108</v>
      </c>
      <c r="G57" s="95" cm="1">
        <f t="array" ref="G57">IFERROR((VLOOKUP($B57,$F$8:$G$34,2,0)*(-(VLOOKUP(G$52,$F$8:$G$34,2,0))))/SUMPRODUCT(($G$8:$G$34&gt;0)*($G$8:$G$34)),0)</f>
        <v>359.10253688945318</v>
      </c>
      <c r="H57" s="95" cm="1">
        <f t="array" ref="H57">IFERROR((VLOOKUP($B57,$F$8:$G$34,2,0)*(-(VLOOKUP(H$52,$F$8:$G$34,2,0))))/SUMPRODUCT(($G$8:$G$34&gt;0)*($G$8:$G$34)),0)</f>
        <v>777.90905501526902</v>
      </c>
      <c r="I57" s="95" cm="1">
        <f t="array" ref="I57">IFERROR((VLOOKUP($B57,$F$8:$G$34,2,0)*(-(VLOOKUP(I$52,$F$8:$G$34,2,0))))/SUMPRODUCT(($G$8:$G$34&gt;0)*($G$8:$G$34)),0)</f>
        <v>176.51967027805827</v>
      </c>
      <c r="J57" s="95" cm="1">
        <f t="array" ref="J57">IFERROR((VLOOKUP($B57,$F$8:$G$34,2,0)*(-(VLOOKUP(J$52,$F$8:$G$34,2,0))))/SUMPRODUCT(($G$8:$G$34&gt;0)*($G$8:$G$34)),0)</f>
        <v>156.58942194625664</v>
      </c>
      <c r="K57" s="95" cm="1">
        <f t="array" ref="K57">IFERROR((VLOOKUP($B57,$F$8:$G$34,2,0)*(-(VLOOKUP(K$52,$F$8:$G$34,2,0))))/SUMPRODUCT(($G$8:$G$34&gt;0)*($G$8:$G$34)),0)</f>
        <v>132.46668387504212</v>
      </c>
      <c r="L57" s="95" cm="1">
        <f t="array" ref="L57">IFERROR((VLOOKUP($B57,$F$8:$G$34,2,0)*(-(VLOOKUP(L$52,$F$8:$G$34,2,0))))/SUMPRODUCT(($G$8:$G$34&gt;0)*($G$8:$G$34)),0)</f>
        <v>496.36994763068304</v>
      </c>
      <c r="M57" s="95" cm="1">
        <f t="array" ref="M57">IFERROR((VLOOKUP($B57,$F$8:$G$34,2,0)*(-(VLOOKUP(M$52,$F$8:$G$34,2,0))))/SUMPRODUCT(($G$8:$G$34&gt;0)*($G$8:$G$34)),0)</f>
        <v>197.28337010991493</v>
      </c>
      <c r="N57" s="95" cm="1">
        <f t="array" ref="N57">IFERROR((VLOOKUP($B57,$F$8:$G$34,2,0)*(-(VLOOKUP(N$52,$F$8:$G$34,2,0))))/SUMPRODUCT(($G$8:$G$34&gt;0)*($G$8:$G$34)),0)</f>
        <v>1000.1592221115335</v>
      </c>
      <c r="O57" s="95" cm="1">
        <f t="array" ref="O57">IFERROR((VLOOKUP($B57,$F$8:$G$34,2,0)*(-(VLOOKUP(O$52,$F$8:$G$34,2,0))))/SUMPRODUCT(($G$8:$G$34&gt;0)*($G$8:$G$34)),0)</f>
        <v>128.29730960149314</v>
      </c>
      <c r="P57" s="95" cm="1">
        <f t="array" ref="P57">IFERROR((VLOOKUP($B57,$F$8:$G$34,2,0)*(-(VLOOKUP(P$52,$F$8:$G$34,2,0))))/SUMPRODUCT(($G$8:$G$34&gt;0)*($G$8:$G$34)),0)</f>
        <v>1661.2837100854335</v>
      </c>
      <c r="Q57" s="95" cm="1">
        <f t="array" ref="Q57">IFERROR((VLOOKUP($B57,$F$8:$G$34,2,0)*(-(VLOOKUP(Q$52,$F$8:$G$34,2,0))))/SUMPRODUCT(($G$8:$G$34&gt;0)*($G$8:$G$34)),0)</f>
        <v>626.41623192471195</v>
      </c>
      <c r="R57" s="94">
        <f t="shared" si="1"/>
        <v>18506.537027723334</v>
      </c>
    </row>
    <row r="58" spans="2:18" x14ac:dyDescent="0.2">
      <c r="B58" s="86" t="s">
        <v>19</v>
      </c>
      <c r="C58" s="95" cm="1">
        <f t="array" ref="C58">IFERROR((VLOOKUP($B58,$F$8:$G$34,2,0)*(-(VLOOKUP(C$52,$F$8:$G$34,2,0))))/SUMPRODUCT(($G$8:$G$34&gt;0)*($G$8:$G$34)),0)</f>
        <v>0</v>
      </c>
      <c r="D58" s="95" cm="1">
        <f t="array" ref="D58">IFERROR((VLOOKUP($B58,$F$8:$G$34,2,0)*(-(VLOOKUP(D$52,$F$8:$G$34,2,0))))/SUMPRODUCT(($G$8:$G$34&gt;0)*($G$8:$G$34)),0)</f>
        <v>0</v>
      </c>
      <c r="E58" s="95" cm="1">
        <f t="array" ref="E58">IFERROR((VLOOKUP($B58,$F$8:$G$34,2,0)*(-(VLOOKUP(E$52,$F$8:$G$34,2,0))))/SUMPRODUCT(($G$8:$G$34&gt;0)*($G$8:$G$34)),0)</f>
        <v>0</v>
      </c>
      <c r="F58" s="95" cm="1">
        <f t="array" ref="F58">IFERROR((VLOOKUP($B58,$F$8:$G$34,2,0)*(-(VLOOKUP(F$52,$F$8:$G$34,2,0))))/SUMPRODUCT(($G$8:$G$34&gt;0)*($G$8:$G$34)),0)</f>
        <v>0</v>
      </c>
      <c r="G58" s="95" cm="1">
        <f t="array" ref="G58">IFERROR((VLOOKUP($B58,$F$8:$G$34,2,0)*(-(VLOOKUP(G$52,$F$8:$G$34,2,0))))/SUMPRODUCT(($G$8:$G$34&gt;0)*($G$8:$G$34)),0)</f>
        <v>0</v>
      </c>
      <c r="H58" s="95" cm="1">
        <f t="array" ref="H58">IFERROR((VLOOKUP($B58,$F$8:$G$34,2,0)*(-(VLOOKUP(H$52,$F$8:$G$34,2,0))))/SUMPRODUCT(($G$8:$G$34&gt;0)*($G$8:$G$34)),0)</f>
        <v>0</v>
      </c>
      <c r="I58" s="95" cm="1">
        <f t="array" ref="I58">IFERROR((VLOOKUP($B58,$F$8:$G$34,2,0)*(-(VLOOKUP(I$52,$F$8:$G$34,2,0))))/SUMPRODUCT(($G$8:$G$34&gt;0)*($G$8:$G$34)),0)</f>
        <v>0</v>
      </c>
      <c r="J58" s="95" cm="1">
        <f t="array" ref="J58">IFERROR((VLOOKUP($B58,$F$8:$G$34,2,0)*(-(VLOOKUP(J$52,$F$8:$G$34,2,0))))/SUMPRODUCT(($G$8:$G$34&gt;0)*($G$8:$G$34)),0)</f>
        <v>0</v>
      </c>
      <c r="K58" s="95" cm="1">
        <f t="array" ref="K58">IFERROR((VLOOKUP($B58,$F$8:$G$34,2,0)*(-(VLOOKUP(K$52,$F$8:$G$34,2,0))))/SUMPRODUCT(($G$8:$G$34&gt;0)*($G$8:$G$34)),0)</f>
        <v>0</v>
      </c>
      <c r="L58" s="95" cm="1">
        <f t="array" ref="L58">IFERROR((VLOOKUP($B58,$F$8:$G$34,2,0)*(-(VLOOKUP(L$52,$F$8:$G$34,2,0))))/SUMPRODUCT(($G$8:$G$34&gt;0)*($G$8:$G$34)),0)</f>
        <v>0</v>
      </c>
      <c r="M58" s="95" cm="1">
        <f t="array" ref="M58">IFERROR((VLOOKUP($B58,$F$8:$G$34,2,0)*(-(VLOOKUP(M$52,$F$8:$G$34,2,0))))/SUMPRODUCT(($G$8:$G$34&gt;0)*($G$8:$G$34)),0)</f>
        <v>0</v>
      </c>
      <c r="N58" s="95" cm="1">
        <f t="array" ref="N58">IFERROR((VLOOKUP($B58,$F$8:$G$34,2,0)*(-(VLOOKUP(N$52,$F$8:$G$34,2,0))))/SUMPRODUCT(($G$8:$G$34&gt;0)*($G$8:$G$34)),0)</f>
        <v>0</v>
      </c>
      <c r="O58" s="95" cm="1">
        <f t="array" ref="O58">IFERROR((VLOOKUP($B58,$F$8:$G$34,2,0)*(-(VLOOKUP(O$52,$F$8:$G$34,2,0))))/SUMPRODUCT(($G$8:$G$34&gt;0)*($G$8:$G$34)),0)</f>
        <v>0</v>
      </c>
      <c r="P58" s="95" cm="1">
        <f t="array" ref="P58">IFERROR((VLOOKUP($B58,$F$8:$G$34,2,0)*(-(VLOOKUP(P$52,$F$8:$G$34,2,0))))/SUMPRODUCT(($G$8:$G$34&gt;0)*($G$8:$G$34)),0)</f>
        <v>0</v>
      </c>
      <c r="Q58" s="95" cm="1">
        <f t="array" ref="Q58">IFERROR((VLOOKUP($B58,$F$8:$G$34,2,0)*(-(VLOOKUP(Q$52,$F$8:$G$34,2,0))))/SUMPRODUCT(($G$8:$G$34&gt;0)*($G$8:$G$34)),0)</f>
        <v>0</v>
      </c>
      <c r="R58" s="94">
        <f t="shared" si="1"/>
        <v>0</v>
      </c>
    </row>
    <row r="59" spans="2:18" x14ac:dyDescent="0.2">
      <c r="B59" s="86" t="s">
        <v>22</v>
      </c>
      <c r="C59" s="95" cm="1">
        <f t="array" ref="C59">IFERROR((VLOOKUP($B59,$F$8:$G$34,2,0)*(-(VLOOKUP(C$52,$F$8:$G$34,2,0))))/SUMPRODUCT(($G$8:$G$34&gt;0)*($G$8:$G$34)),0)</f>
        <v>21413.552854871385</v>
      </c>
      <c r="D59" s="95" cm="1">
        <f t="array" ref="D59">IFERROR((VLOOKUP($B59,$F$8:$G$34,2,0)*(-(VLOOKUP(D$52,$F$8:$G$34,2,0))))/SUMPRODUCT(($G$8:$G$34&gt;0)*($G$8:$G$34)),0)</f>
        <v>4842.5678665746345</v>
      </c>
      <c r="E59" s="95" cm="1">
        <f t="array" ref="E59">IFERROR((VLOOKUP($B59,$F$8:$G$34,2,0)*(-(VLOOKUP(E$52,$F$8:$G$34,2,0))))/SUMPRODUCT(($G$8:$G$34&gt;0)*($G$8:$G$34)),0)</f>
        <v>124288.58016453788</v>
      </c>
      <c r="F59" s="95" cm="1">
        <f t="array" ref="F59">IFERROR((VLOOKUP($B59,$F$8:$G$34,2,0)*(-(VLOOKUP(F$52,$F$8:$G$34,2,0))))/SUMPRODUCT(($G$8:$G$34&gt;0)*($G$8:$G$34)),0)</f>
        <v>13374.427363196404</v>
      </c>
      <c r="G59" s="95" cm="1">
        <f t="array" ref="G59">IFERROR((VLOOKUP($B59,$F$8:$G$34,2,0)*(-(VLOOKUP(G$52,$F$8:$G$34,2,0))))/SUMPRODUCT(($G$8:$G$34&gt;0)*($G$8:$G$34)),0)</f>
        <v>4600.8387750269694</v>
      </c>
      <c r="H59" s="95" cm="1">
        <f t="array" ref="H59">IFERROR((VLOOKUP($B59,$F$8:$G$34,2,0)*(-(VLOOKUP(H$52,$F$8:$G$34,2,0))))/SUMPRODUCT(($G$8:$G$34&gt;0)*($G$8:$G$34)),0)</f>
        <v>9966.6077960919956</v>
      </c>
      <c r="I59" s="95" cm="1">
        <f t="array" ref="I59">IFERROR((VLOOKUP($B59,$F$8:$G$34,2,0)*(-(VLOOKUP(I$52,$F$8:$G$34,2,0))))/SUMPRODUCT(($G$8:$G$34&gt;0)*($G$8:$G$34)),0)</f>
        <v>2261.5784076743421</v>
      </c>
      <c r="J59" s="95" cm="1">
        <f t="array" ref="J59">IFERROR((VLOOKUP($B59,$F$8:$G$34,2,0)*(-(VLOOKUP(J$52,$F$8:$G$34,2,0))))/SUMPRODUCT(($G$8:$G$34&gt;0)*($G$8:$G$34)),0)</f>
        <v>2006.2311185264032</v>
      </c>
      <c r="K59" s="95" cm="1">
        <f t="array" ref="K59">IFERROR((VLOOKUP($B59,$F$8:$G$34,2,0)*(-(VLOOKUP(K$52,$F$8:$G$34,2,0))))/SUMPRODUCT(($G$8:$G$34&gt;0)*($G$8:$G$34)),0)</f>
        <v>1697.1694515183844</v>
      </c>
      <c r="L59" s="95" cm="1">
        <f t="array" ref="L59">IFERROR((VLOOKUP($B59,$F$8:$G$34,2,0)*(-(VLOOKUP(L$52,$F$8:$G$34,2,0))))/SUMPRODUCT(($G$8:$G$34&gt;0)*($G$8:$G$34)),0)</f>
        <v>6359.5153673903915</v>
      </c>
      <c r="M59" s="95" cm="1">
        <f t="array" ref="M59">IFERROR((VLOOKUP($B59,$F$8:$G$34,2,0)*(-(VLOOKUP(M$52,$F$8:$G$34,2,0))))/SUMPRODUCT(($G$8:$G$34&gt;0)*($G$8:$G$34)),0)</f>
        <v>2527.6039170648123</v>
      </c>
      <c r="N59" s="95" cm="1">
        <f t="array" ref="N59">IFERROR((VLOOKUP($B59,$F$8:$G$34,2,0)*(-(VLOOKUP(N$52,$F$8:$G$34,2,0))))/SUMPRODUCT(($G$8:$G$34&gt;0)*($G$8:$G$34)),0)</f>
        <v>12814.08750311366</v>
      </c>
      <c r="O59" s="95" cm="1">
        <f t="array" ref="O59">IFERROR((VLOOKUP($B59,$F$8:$G$34,2,0)*(-(VLOOKUP(O$52,$F$8:$G$34,2,0))))/SUMPRODUCT(($G$8:$G$34&gt;0)*($G$8:$G$34)),0)</f>
        <v>1643.7512301059041</v>
      </c>
      <c r="P59" s="95" cm="1">
        <f t="array" ref="P59">IFERROR((VLOOKUP($B59,$F$8:$G$34,2,0)*(-(VLOOKUP(P$52,$F$8:$G$34,2,0))))/SUMPRODUCT(($G$8:$G$34&gt;0)*($G$8:$G$34)),0)</f>
        <v>21284.445874117151</v>
      </c>
      <c r="Q59" s="95" cm="1">
        <f t="array" ref="Q59">IFERROR((VLOOKUP($B59,$F$8:$G$34,2,0)*(-(VLOOKUP(Q$52,$F$8:$G$34,2,0))))/SUMPRODUCT(($G$8:$G$34&gt;0)*($G$8:$G$34)),0)</f>
        <v>8025.6745444065582</v>
      </c>
      <c r="R59" s="94">
        <f t="shared" si="1"/>
        <v>237106.63223421687</v>
      </c>
    </row>
    <row r="60" spans="2:18" x14ac:dyDescent="0.2">
      <c r="B60" s="86" t="s">
        <v>36</v>
      </c>
      <c r="C60" s="95" cm="1">
        <f t="array" ref="C60">IFERROR((VLOOKUP($B60,$F$8:$G$34,2,0)*(-(VLOOKUP(C$52,$F$8:$G$34,2,0))))/SUMPRODUCT(($G$8:$G$34&gt;0)*($G$8:$G$34)),0)</f>
        <v>14977.55694836787</v>
      </c>
      <c r="D60" s="95" cm="1">
        <f t="array" ref="D60">IFERROR((VLOOKUP($B60,$F$8:$G$34,2,0)*(-(VLOOKUP(D$52,$F$8:$G$34,2,0))))/SUMPRODUCT(($G$8:$G$34&gt;0)*($G$8:$G$34)),0)</f>
        <v>3387.0995854598705</v>
      </c>
      <c r="E60" s="95" cm="1">
        <f t="array" ref="E60">IFERROR((VLOOKUP($B60,$F$8:$G$34,2,0)*(-(VLOOKUP(E$52,$F$8:$G$34,2,0))))/SUMPRODUCT(($G$8:$G$34&gt;0)*($G$8:$G$34)),0)</f>
        <v>86932.761698284376</v>
      </c>
      <c r="F60" s="95" cm="1">
        <f t="array" ref="F60">IFERROR((VLOOKUP($B60,$F$8:$G$34,2,0)*(-(VLOOKUP(F$52,$F$8:$G$34,2,0))))/SUMPRODUCT(($G$8:$G$34&gt;0)*($G$8:$G$34)),0)</f>
        <v>9354.6479111481767</v>
      </c>
      <c r="G60" s="95" cm="1">
        <f t="array" ref="G60">IFERROR((VLOOKUP($B60,$F$8:$G$34,2,0)*(-(VLOOKUP(G$52,$F$8:$G$34,2,0))))/SUMPRODUCT(($G$8:$G$34&gt;0)*($G$8:$G$34)),0)</f>
        <v>3218.0238949721634</v>
      </c>
      <c r="H60" s="95" cm="1">
        <f t="array" ref="H60">IFERROR((VLOOKUP($B60,$F$8:$G$34,2,0)*(-(VLOOKUP(H$52,$F$8:$G$34,2,0))))/SUMPRODUCT(($G$8:$G$34&gt;0)*($G$8:$G$34)),0)</f>
        <v>6971.0727995357502</v>
      </c>
      <c r="I60" s="95" cm="1">
        <f t="array" ref="I60">IFERROR((VLOOKUP($B60,$F$8:$G$34,2,0)*(-(VLOOKUP(I$52,$F$8:$G$34,2,0))))/SUMPRODUCT(($G$8:$G$34&gt;0)*($G$8:$G$34)),0)</f>
        <v>1581.8449009238468</v>
      </c>
      <c r="J60" s="95" cm="1">
        <f t="array" ref="J60">IFERROR((VLOOKUP($B60,$F$8:$G$34,2,0)*(-(VLOOKUP(J$52,$F$8:$G$34,2,0))))/SUMPRODUCT(($G$8:$G$34&gt;0)*($G$8:$G$34)),0)</f>
        <v>1403.2440591698089</v>
      </c>
      <c r="K60" s="95" cm="1">
        <f t="array" ref="K60">IFERROR((VLOOKUP($B60,$F$8:$G$34,2,0)*(-(VLOOKUP(K$52,$F$8:$G$34,2,0))))/SUMPRODUCT(($G$8:$G$34&gt;0)*($G$8:$G$34)),0)</f>
        <v>1187.0730785977057</v>
      </c>
      <c r="L60" s="95" cm="1">
        <f t="array" ref="L60">IFERROR((VLOOKUP($B60,$F$8:$G$34,2,0)*(-(VLOOKUP(L$52,$F$8:$G$34,2,0))))/SUMPRODUCT(($G$8:$G$34&gt;0)*($G$8:$G$34)),0)</f>
        <v>4448.1177049254447</v>
      </c>
      <c r="M60" s="95" cm="1">
        <f t="array" ref="M60">IFERROR((VLOOKUP($B60,$F$8:$G$34,2,0)*(-(VLOOKUP(M$52,$F$8:$G$34,2,0))))/SUMPRODUCT(($G$8:$G$34&gt;0)*($G$8:$G$34)),0)</f>
        <v>1767.914547732033</v>
      </c>
      <c r="N60" s="95" cm="1">
        <f t="array" ref="N60">IFERROR((VLOOKUP($B60,$F$8:$G$34,2,0)*(-(VLOOKUP(N$52,$F$8:$G$34,2,0))))/SUMPRODUCT(($G$8:$G$34&gt;0)*($G$8:$G$34)),0)</f>
        <v>8962.7221890734963</v>
      </c>
      <c r="O60" s="95" cm="1">
        <f t="array" ref="O60">IFERROR((VLOOKUP($B60,$F$8:$G$34,2,0)*(-(VLOOKUP(O$52,$F$8:$G$34,2,0))))/SUMPRODUCT(($G$8:$G$34&gt;0)*($G$8:$G$34)),0)</f>
        <v>1149.7100842964617</v>
      </c>
      <c r="P60" s="95" cm="1">
        <f t="array" ref="P60">IFERROR((VLOOKUP($B60,$F$8:$G$34,2,0)*(-(VLOOKUP(P$52,$F$8:$G$34,2,0))))/SUMPRODUCT(($G$8:$G$34&gt;0)*($G$8:$G$34)),0)</f>
        <v>14887.25399071372</v>
      </c>
      <c r="Q60" s="95" cm="1">
        <f t="array" ref="Q60">IFERROR((VLOOKUP($B60,$F$8:$G$34,2,0)*(-(VLOOKUP(Q$52,$F$8:$G$34,2,0))))/SUMPRODUCT(($G$8:$G$34&gt;0)*($G$8:$G$34)),0)</f>
        <v>5613.5008680061264</v>
      </c>
      <c r="R60" s="94">
        <f t="shared" si="1"/>
        <v>165842.54426120687</v>
      </c>
    </row>
    <row r="61" spans="2:18" x14ac:dyDescent="0.2">
      <c r="B61" s="86" t="s">
        <v>25</v>
      </c>
      <c r="C61" s="95" cm="1">
        <f t="array" ref="C61">IFERROR((VLOOKUP($B61,$F$8:$G$34,2,0)*(-(VLOOKUP(C$52,$F$8:$G$34,2,0))))/SUMPRODUCT(($G$8:$G$34&gt;0)*($G$8:$G$34)),0)</f>
        <v>15328.771154690214</v>
      </c>
      <c r="D61" s="95" cm="1">
        <f t="array" ref="D61">IFERROR((VLOOKUP($B61,$F$8:$G$34,2,0)*(-(VLOOKUP(D$52,$F$8:$G$34,2,0))))/SUMPRODUCT(($G$8:$G$34&gt;0)*($G$8:$G$34)),0)</f>
        <v>3466.5249214304108</v>
      </c>
      <c r="E61" s="95" cm="1">
        <f t="array" ref="E61">IFERROR((VLOOKUP($B61,$F$8:$G$34,2,0)*(-(VLOOKUP(E$52,$F$8:$G$34,2,0))))/SUMPRODUCT(($G$8:$G$34&gt;0)*($G$8:$G$34)),0)</f>
        <v>88971.279796297662</v>
      </c>
      <c r="F61" s="95" cm="1">
        <f t="array" ref="F61">IFERROR((VLOOKUP($B61,$F$8:$G$34,2,0)*(-(VLOOKUP(F$52,$F$8:$G$34,2,0))))/SUMPRODUCT(($G$8:$G$34&gt;0)*($G$8:$G$34)),0)</f>
        <v>9574.0084686052396</v>
      </c>
      <c r="G61" s="95" cm="1">
        <f t="array" ref="G61">IFERROR((VLOOKUP($B61,$F$8:$G$34,2,0)*(-(VLOOKUP(G$52,$F$8:$G$34,2,0))))/SUMPRODUCT(($G$8:$G$34&gt;0)*($G$8:$G$34)),0)</f>
        <v>3293.4845132889673</v>
      </c>
      <c r="H61" s="95" cm="1">
        <f t="array" ref="H61">IFERROR((VLOOKUP($B61,$F$8:$G$34,2,0)*(-(VLOOKUP(H$52,$F$8:$G$34,2,0))))/SUMPRODUCT(($G$8:$G$34&gt;0)*($G$8:$G$34)),0)</f>
        <v>7134.5400331402952</v>
      </c>
      <c r="I61" s="95" cm="1">
        <f t="array" ref="I61">IFERROR((VLOOKUP($B61,$F$8:$G$34,2,0)*(-(VLOOKUP(I$52,$F$8:$G$34,2,0))))/SUMPRODUCT(($G$8:$G$34&gt;0)*($G$8:$G$34)),0)</f>
        <v>1618.93816007941</v>
      </c>
      <c r="J61" s="95" cm="1">
        <f t="array" ref="J61">IFERROR((VLOOKUP($B61,$F$8:$G$34,2,0)*(-(VLOOKUP(J$52,$F$8:$G$34,2,0))))/SUMPRODUCT(($G$8:$G$34&gt;0)*($G$8:$G$34)),0)</f>
        <v>1436.1492419186932</v>
      </c>
      <c r="K61" s="95" cm="1">
        <f t="array" ref="K61">IFERROR((VLOOKUP($B61,$F$8:$G$34,2,0)*(-(VLOOKUP(K$52,$F$8:$G$34,2,0))))/SUMPRODUCT(($G$8:$G$34&gt;0)*($G$8:$G$34)),0)</f>
        <v>1214.9091890250304</v>
      </c>
      <c r="L61" s="95" cm="1">
        <f t="array" ref="L61">IFERROR((VLOOKUP($B61,$F$8:$G$34,2,0)*(-(VLOOKUP(L$52,$F$8:$G$34,2,0))))/SUMPRODUCT(($G$8:$G$34&gt;0)*($G$8:$G$34)),0)</f>
        <v>4552.4232425207456</v>
      </c>
      <c r="M61" s="95" cm="1">
        <f t="array" ref="M61">IFERROR((VLOOKUP($B61,$F$8:$G$34,2,0)*(-(VLOOKUP(M$52,$F$8:$G$34,2,0))))/SUMPRODUCT(($G$8:$G$34&gt;0)*($G$8:$G$34)),0)</f>
        <v>1809.3710220334101</v>
      </c>
      <c r="N61" s="95" cm="1">
        <f t="array" ref="N61">IFERROR((VLOOKUP($B61,$F$8:$G$34,2,0)*(-(VLOOKUP(N$52,$F$8:$G$34,2,0))))/SUMPRODUCT(($G$8:$G$34&gt;0)*($G$8:$G$34)),0)</f>
        <v>9172.8923370472039</v>
      </c>
      <c r="O61" s="95" cm="1">
        <f t="array" ref="O61">IFERROR((VLOOKUP($B61,$F$8:$G$34,2,0)*(-(VLOOKUP(O$52,$F$8:$G$34,2,0))))/SUMPRODUCT(($G$8:$G$34&gt;0)*($G$8:$G$34)),0)</f>
        <v>1176.6700562163801</v>
      </c>
      <c r="P61" s="95" cm="1">
        <f t="array" ref="P61">IFERROR((VLOOKUP($B61,$F$8:$G$34,2,0)*(-(VLOOKUP(P$52,$F$8:$G$34,2,0))))/SUMPRODUCT(($G$8:$G$34&gt;0)*($G$8:$G$34)),0)</f>
        <v>15236.350649981465</v>
      </c>
      <c r="Q61" s="95" cm="1">
        <f t="array" ref="Q61">IFERROR((VLOOKUP($B61,$F$8:$G$34,2,0)*(-(VLOOKUP(Q$52,$F$8:$G$34,2,0))))/SUMPRODUCT(($G$8:$G$34&gt;0)*($G$8:$G$34)),0)</f>
        <v>5745.1339012733706</v>
      </c>
      <c r="R61" s="94">
        <f t="shared" si="1"/>
        <v>169731.44668754851</v>
      </c>
    </row>
    <row r="62" spans="2:18" x14ac:dyDescent="0.2">
      <c r="B62" s="86" t="s">
        <v>23</v>
      </c>
      <c r="C62" s="95" cm="1">
        <f t="array" ref="C62">IFERROR((VLOOKUP($B62,$F$8:$G$34,2,0)*(-(VLOOKUP(C$52,$F$8:$G$34,2,0))))/SUMPRODUCT(($G$8:$G$34&gt;0)*($G$8:$G$34)),0)</f>
        <v>18.616656503625606</v>
      </c>
      <c r="D62" s="95" cm="1">
        <f t="array" ref="D62">IFERROR((VLOOKUP($B62,$F$8:$G$34,2,0)*(-(VLOOKUP(D$52,$F$8:$G$34,2,0))))/SUMPRODUCT(($G$8:$G$34&gt;0)*($G$8:$G$34)),0)</f>
        <v>4.210063746941751</v>
      </c>
      <c r="E62" s="95" cm="1">
        <f t="array" ref="E62">IFERROR((VLOOKUP($B62,$F$8:$G$34,2,0)*(-(VLOOKUP(E$52,$F$8:$G$34,2,0))))/SUMPRODUCT(($G$8:$G$34&gt;0)*($G$8:$G$34)),0)</f>
        <v>108.05482957117786</v>
      </c>
      <c r="F62" s="95" cm="1">
        <f t="array" ref="F62">IFERROR((VLOOKUP($B62,$F$8:$G$34,2,0)*(-(VLOOKUP(F$52,$F$8:$G$34,2,0))))/SUMPRODUCT(($G$8:$G$34&gt;0)*($G$8:$G$34)),0)</f>
        <v>11.627548302741195</v>
      </c>
      <c r="G62" s="95" cm="1">
        <f t="array" ref="G62">IFERROR((VLOOKUP($B62,$F$8:$G$34,2,0)*(-(VLOOKUP(G$52,$F$8:$G$34,2,0))))/SUMPRODUCT(($G$8:$G$34&gt;0)*($G$8:$G$34)),0)</f>
        <v>3.9999077072235401</v>
      </c>
      <c r="H62" s="95" cm="1">
        <f t="array" ref="H62">IFERROR((VLOOKUP($B62,$F$8:$G$34,2,0)*(-(VLOOKUP(H$52,$F$8:$G$34,2,0))))/SUMPRODUCT(($G$8:$G$34&gt;0)*($G$8:$G$34)),0)</f>
        <v>8.6648355414777409</v>
      </c>
      <c r="I62" s="95" cm="1">
        <f t="array" ref="I62">IFERROR((VLOOKUP($B62,$F$8:$G$34,2,0)*(-(VLOOKUP(I$52,$F$8:$G$34,2,0))))/SUMPRODUCT(($G$8:$G$34&gt;0)*($G$8:$G$34)),0)</f>
        <v>1.9661860251327576</v>
      </c>
      <c r="J62" s="95" cm="1">
        <f t="array" ref="J62">IFERROR((VLOOKUP($B62,$F$8:$G$34,2,0)*(-(VLOOKUP(J$52,$F$8:$G$34,2,0))))/SUMPRODUCT(($G$8:$G$34&gt;0)*($G$8:$G$34)),0)</f>
        <v>1.744190506527459</v>
      </c>
      <c r="K62" s="95" cm="1">
        <f t="array" ref="K62">IFERROR((VLOOKUP($B62,$F$8:$G$34,2,0)*(-(VLOOKUP(K$52,$F$8:$G$34,2,0))))/SUMPRODUCT(($G$8:$G$34&gt;0)*($G$8:$G$34)),0)</f>
        <v>1.4754964260952486</v>
      </c>
      <c r="L62" s="95" cm="1">
        <f t="array" ref="L62">IFERROR((VLOOKUP($B62,$F$8:$G$34,2,0)*(-(VLOOKUP(L$52,$F$8:$G$34,2,0))))/SUMPRODUCT(($G$8:$G$34&gt;0)*($G$8:$G$34)),0)</f>
        <v>5.5288776190776776</v>
      </c>
      <c r="M62" s="95" cm="1">
        <f t="array" ref="M62">IFERROR((VLOOKUP($B62,$F$8:$G$34,2,0)*(-(VLOOKUP(M$52,$F$8:$G$34,2,0))))/SUMPRODUCT(($G$8:$G$34&gt;0)*($G$8:$G$34)),0)</f>
        <v>2.197465045624575</v>
      </c>
      <c r="N62" s="95" cm="1">
        <f t="array" ref="N62">IFERROR((VLOOKUP($B62,$F$8:$G$34,2,0)*(-(VLOOKUP(N$52,$F$8:$G$34,2,0))))/SUMPRODUCT(($G$8:$G$34&gt;0)*($G$8:$G$34)),0)</f>
        <v>11.140396321416574</v>
      </c>
      <c r="O62" s="95" cm="1">
        <f t="array" ref="O62">IFERROR((VLOOKUP($B62,$F$8:$G$34,2,0)*(-(VLOOKUP(O$52,$F$8:$G$34,2,0))))/SUMPRODUCT(($G$8:$G$34&gt;0)*($G$8:$G$34)),0)</f>
        <v>1.4290553387235874</v>
      </c>
      <c r="P62" s="95" cm="1">
        <f t="array" ref="P62">IFERROR((VLOOKUP($B62,$F$8:$G$34,2,0)*(-(VLOOKUP(P$52,$F$8:$G$34,2,0))))/SUMPRODUCT(($G$8:$G$34&gt;0)*($G$8:$G$34)),0)</f>
        <v>18.504412621014836</v>
      </c>
      <c r="Q62" s="95" cm="1">
        <f t="array" ref="Q62">IFERROR((VLOOKUP($B62,$F$8:$G$34,2,0)*(-(VLOOKUP(Q$52,$F$8:$G$34,2,0))))/SUMPRODUCT(($G$8:$G$34&gt;0)*($G$8:$G$34)),0)</f>
        <v>6.9774141271993155</v>
      </c>
      <c r="R62" s="94">
        <f t="shared" si="1"/>
        <v>206.13733540399974</v>
      </c>
    </row>
    <row r="63" spans="2:18" x14ac:dyDescent="0.2">
      <c r="B63" s="86" t="s">
        <v>26</v>
      </c>
      <c r="C63" s="95" cm="1">
        <f t="array" ref="C63">IFERROR((VLOOKUP($B63,$F$8:$G$34,2,0)*(-(VLOOKUP(C$52,$F$8:$G$34,2,0))))/SUMPRODUCT(($G$8:$G$34&gt;0)*($G$8:$G$34)),0)</f>
        <v>58969.635881742703</v>
      </c>
      <c r="D63" s="95" cm="1">
        <f t="array" ref="D63">IFERROR((VLOOKUP($B63,$F$8:$G$34,2,0)*(-(VLOOKUP(D$52,$F$8:$G$34,2,0))))/SUMPRODUCT(($G$8:$G$34&gt;0)*($G$8:$G$34)),0)</f>
        <v>13335.688185885068</v>
      </c>
      <c r="E63" s="95" cm="1">
        <f t="array" ref="E63">IFERROR((VLOOKUP($B63,$F$8:$G$34,2,0)*(-(VLOOKUP(E$52,$F$8:$G$34,2,0))))/SUMPRODUCT(($G$8:$G$34&gt;0)*($G$8:$G$34)),0)</f>
        <v>342271.66160772106</v>
      </c>
      <c r="F63" s="95" cm="1">
        <f t="array" ref="F63">IFERROR((VLOOKUP($B63,$F$8:$G$34,2,0)*(-(VLOOKUP(F$52,$F$8:$G$34,2,0))))/SUMPRODUCT(($G$8:$G$34&gt;0)*($G$8:$G$34)),0)</f>
        <v>36831.118921729496</v>
      </c>
      <c r="G63" s="95" cm="1">
        <f t="array" ref="G63">IFERROR((VLOOKUP($B63,$F$8:$G$34,2,0)*(-(VLOOKUP(G$52,$F$8:$G$34,2,0))))/SUMPRODUCT(($G$8:$G$34&gt;0)*($G$8:$G$34)),0)</f>
        <v>12670.003392371345</v>
      </c>
      <c r="H63" s="95" cm="1">
        <f t="array" ref="H63">IFERROR((VLOOKUP($B63,$F$8:$G$34,2,0)*(-(VLOOKUP(H$52,$F$8:$G$34,2,0))))/SUMPRODUCT(($G$8:$G$34&gt;0)*($G$8:$G$34)),0)</f>
        <v>27446.507204804206</v>
      </c>
      <c r="I63" s="95" cm="1">
        <f t="array" ref="I63">IFERROR((VLOOKUP($B63,$F$8:$G$34,2,0)*(-(VLOOKUP(I$52,$F$8:$G$34,2,0))))/SUMPRODUCT(($G$8:$G$34&gt;0)*($G$8:$G$34)),0)</f>
        <v>6228.0396028830046</v>
      </c>
      <c r="J63" s="95" cm="1">
        <f t="array" ref="J63">IFERROR((VLOOKUP($B63,$F$8:$G$34,2,0)*(-(VLOOKUP(J$52,$F$8:$G$34,2,0))))/SUMPRODUCT(($G$8:$G$34&gt;0)*($G$8:$G$34)),0)</f>
        <v>5524.8523846527269</v>
      </c>
      <c r="K63" s="95" cm="1">
        <f t="array" ref="K63">IFERROR((VLOOKUP($B63,$F$8:$G$34,2,0)*(-(VLOOKUP(K$52,$F$8:$G$34,2,0))))/SUMPRODUCT(($G$8:$G$34&gt;0)*($G$8:$G$34)),0)</f>
        <v>4673.7440192176464</v>
      </c>
      <c r="L63" s="95" cm="1">
        <f t="array" ref="L63">IFERROR((VLOOKUP($B63,$F$8:$G$34,2,0)*(-(VLOOKUP(L$52,$F$8:$G$34,2,0))))/SUMPRODUCT(($G$8:$G$34&gt;0)*($G$8:$G$34)),0)</f>
        <v>17513.128631246516</v>
      </c>
      <c r="M63" s="95" cm="1">
        <f t="array" ref="M63">IFERROR((VLOOKUP($B63,$F$8:$G$34,2,0)*(-(VLOOKUP(M$52,$F$8:$G$34,2,0))))/SUMPRODUCT(($G$8:$G$34&gt;0)*($G$8:$G$34)),0)</f>
        <v>6960.6329997065695</v>
      </c>
      <c r="N63" s="95" cm="1">
        <f t="array" ref="N63">IFERROR((VLOOKUP($B63,$F$8:$G$34,2,0)*(-(VLOOKUP(N$52,$F$8:$G$34,2,0))))/SUMPRODUCT(($G$8:$G$34&gt;0)*($G$8:$G$34)),0)</f>
        <v>35288.02900372044</v>
      </c>
      <c r="O63" s="95" cm="1">
        <f t="array" ref="O63">IFERROR((VLOOKUP($B63,$F$8:$G$34,2,0)*(-(VLOOKUP(O$52,$F$8:$G$34,2,0))))/SUMPRODUCT(($G$8:$G$34&gt;0)*($G$8:$G$34)),0)</f>
        <v>4526.6384413860042</v>
      </c>
      <c r="P63" s="95" cm="1">
        <f t="array" ref="P63">IFERROR((VLOOKUP($B63,$F$8:$G$34,2,0)*(-(VLOOKUP(P$52,$F$8:$G$34,2,0))))/SUMPRODUCT(($G$8:$G$34&gt;0)*($G$8:$G$34)),0)</f>
        <v>58614.09508491803</v>
      </c>
      <c r="Q63" s="95" cm="1">
        <f t="array" ref="Q63">IFERROR((VLOOKUP($B63,$F$8:$G$34,2,0)*(-(VLOOKUP(Q$52,$F$8:$G$34,2,0))))/SUMPRODUCT(($G$8:$G$34&gt;0)*($G$8:$G$34)),0)</f>
        <v>22101.475117024365</v>
      </c>
      <c r="R63" s="94">
        <f t="shared" si="1"/>
        <v>652955.25047900935</v>
      </c>
    </row>
    <row r="64" spans="2:18" x14ac:dyDescent="0.2">
      <c r="B64" s="86" t="s">
        <v>41</v>
      </c>
      <c r="C64" s="95" cm="1">
        <f t="array" ref="C64">IFERROR((VLOOKUP($B64,$F$8:$G$34,2,0)*(-(VLOOKUP(C$52,$F$8:$G$34,2,0))))/SUMPRODUCT(($G$8:$G$34&gt;0)*($G$8:$G$34)),0)</f>
        <v>223.86447944260834</v>
      </c>
      <c r="D64" s="95" cm="1">
        <f t="array" ref="D64">IFERROR((VLOOKUP($B64,$F$8:$G$34,2,0)*(-(VLOOKUP(D$52,$F$8:$G$34,2,0))))/SUMPRODUCT(($G$8:$G$34&gt;0)*($G$8:$G$34)),0)</f>
        <v>50.625832245750615</v>
      </c>
      <c r="E64" s="95" cm="1">
        <f t="array" ref="E64">IFERROR((VLOOKUP($B64,$F$8:$G$34,2,0)*(-(VLOOKUP(E$52,$F$8:$G$34,2,0))))/SUMPRODUCT(($G$8:$G$34&gt;0)*($G$8:$G$34)),0)</f>
        <v>1299.3545950907214</v>
      </c>
      <c r="F64" s="95" cm="1">
        <f t="array" ref="F64">IFERROR((VLOOKUP($B64,$F$8:$G$34,2,0)*(-(VLOOKUP(F$52,$F$8:$G$34,2,0))))/SUMPRODUCT(($G$8:$G$34&gt;0)*($G$8:$G$34)),0)</f>
        <v>139.82075930122073</v>
      </c>
      <c r="G64" s="95" cm="1">
        <f t="array" ref="G64">IFERROR((VLOOKUP($B64,$F$8:$G$34,2,0)*(-(VLOOKUP(G$52,$F$8:$G$34,2,0))))/SUMPRODUCT(($G$8:$G$34&gt;0)*($G$8:$G$34)),0)</f>
        <v>48.098715068502649</v>
      </c>
      <c r="H64" s="95" cm="1">
        <f t="array" ref="H64">IFERROR((VLOOKUP($B64,$F$8:$G$34,2,0)*(-(VLOOKUP(H$52,$F$8:$G$34,2,0))))/SUMPRODUCT(($G$8:$G$34&gt;0)*($G$8:$G$34)),0)</f>
        <v>104.19426805081559</v>
      </c>
      <c r="I64" s="95" cm="1">
        <f t="array" ref="I64">IFERROR((VLOOKUP($B64,$F$8:$G$34,2,0)*(-(VLOOKUP(I$52,$F$8:$G$34,2,0))))/SUMPRODUCT(($G$8:$G$34&gt;0)*($G$8:$G$34)),0)</f>
        <v>23.643300875103684</v>
      </c>
      <c r="J64" s="95" cm="1">
        <f t="array" ref="J64">IFERROR((VLOOKUP($B64,$F$8:$G$34,2,0)*(-(VLOOKUP(J$52,$F$8:$G$34,2,0))))/SUMPRODUCT(($G$8:$G$34&gt;0)*($G$8:$G$34)),0)</f>
        <v>20.973814482555778</v>
      </c>
      <c r="K64" s="95" cm="1">
        <f t="array" ref="K64">IFERROR((VLOOKUP($B64,$F$8:$G$34,2,0)*(-(VLOOKUP(K$52,$F$8:$G$34,2,0))))/SUMPRODUCT(($G$8:$G$34&gt;0)*($G$8:$G$34)),0)</f>
        <v>17.742779928442761</v>
      </c>
      <c r="L64" s="95" cm="1">
        <f t="array" ref="L64">IFERROR((VLOOKUP($B64,$F$8:$G$34,2,0)*(-(VLOOKUP(L$52,$F$8:$G$34,2,0))))/SUMPRODUCT(($G$8:$G$34&gt;0)*($G$8:$G$34)),0)</f>
        <v>66.484511322195019</v>
      </c>
      <c r="M64" s="95" cm="1">
        <f t="array" ref="M64">IFERROR((VLOOKUP($B64,$F$8:$G$34,2,0)*(-(VLOOKUP(M$52,$F$8:$G$34,2,0))))/SUMPRODUCT(($G$8:$G$34&gt;0)*($G$8:$G$34)),0)</f>
        <v>26.424420971417103</v>
      </c>
      <c r="N64" s="95" cm="1">
        <f t="array" ref="N64">IFERROR((VLOOKUP($B64,$F$8:$G$34,2,0)*(-(VLOOKUP(N$52,$F$8:$G$34,2,0))))/SUMPRODUCT(($G$8:$G$34&gt;0)*($G$8:$G$34)),0)</f>
        <v>133.96277805268491</v>
      </c>
      <c r="O64" s="95" cm="1">
        <f t="array" ref="O64">IFERROR((VLOOKUP($B64,$F$8:$G$34,2,0)*(-(VLOOKUP(O$52,$F$8:$G$34,2,0))))/SUMPRODUCT(($G$8:$G$34&gt;0)*($G$8:$G$34)),0)</f>
        <v>17.184327885930141</v>
      </c>
      <c r="P64" s="95" cm="1">
        <f t="array" ref="P64">IFERROR((VLOOKUP($B64,$F$8:$G$34,2,0)*(-(VLOOKUP(P$52,$F$8:$G$34,2,0))))/SUMPRODUCT(($G$8:$G$34&gt;0)*($G$8:$G$34)),0)</f>
        <v>222.51475166810789</v>
      </c>
      <c r="Q64" s="95" cm="1">
        <f t="array" ref="Q64">IFERROR((VLOOKUP($B64,$F$8:$G$34,2,0)*(-(VLOOKUP(Q$52,$F$8:$G$34,2,0))))/SUMPRODUCT(($G$8:$G$34&gt;0)*($G$8:$G$34)),0)</f>
        <v>83.903099417275939</v>
      </c>
      <c r="R64" s="94">
        <f t="shared" si="1"/>
        <v>2478.7924338033322</v>
      </c>
    </row>
    <row r="65" spans="2:22" x14ac:dyDescent="0.2">
      <c r="B65" s="93" t="s">
        <v>52</v>
      </c>
      <c r="C65" s="92">
        <f t="shared" ref="C65:R65" si="2">SUM(C53:C64)</f>
        <v>1292321.0388904142</v>
      </c>
      <c r="D65" s="92">
        <f t="shared" si="2"/>
        <v>292251.93869710393</v>
      </c>
      <c r="E65" s="92">
        <f t="shared" si="2"/>
        <v>7500891.98784733</v>
      </c>
      <c r="F65" s="92">
        <f t="shared" si="2"/>
        <v>807154.88838828506</v>
      </c>
      <c r="G65" s="92">
        <f t="shared" si="2"/>
        <v>277663.43986946315</v>
      </c>
      <c r="H65" s="92">
        <f t="shared" si="2"/>
        <v>601490.88890351122</v>
      </c>
      <c r="I65" s="92">
        <f t="shared" si="2"/>
        <v>136487.6429962882</v>
      </c>
      <c r="J65" s="92">
        <f t="shared" si="2"/>
        <v>121077.2775970478</v>
      </c>
      <c r="K65" s="92">
        <f t="shared" si="2"/>
        <v>102425.2165730807</v>
      </c>
      <c r="L65" s="92">
        <f t="shared" si="2"/>
        <v>383800.65008949989</v>
      </c>
      <c r="M65" s="92">
        <f t="shared" si="2"/>
        <v>152542.44553171314</v>
      </c>
      <c r="N65" s="92">
        <f t="shared" si="2"/>
        <v>773338.03440699435</v>
      </c>
      <c r="O65" s="92">
        <f t="shared" si="2"/>
        <v>99201.394171477237</v>
      </c>
      <c r="P65" s="92">
        <f t="shared" si="2"/>
        <v>1284529.353473841</v>
      </c>
      <c r="Q65" s="92">
        <f t="shared" si="2"/>
        <v>484354.3775905621</v>
      </c>
      <c r="R65" s="85">
        <f t="shared" si="2"/>
        <v>14309530.575026618</v>
      </c>
    </row>
    <row r="66" spans="2:22" x14ac:dyDescent="0.2"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60"/>
    </row>
    <row r="67" spans="2:22" x14ac:dyDescent="0.2">
      <c r="B67" s="90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4">
        <f>-SUMPRODUCT(($G$8:$G$34&lt;0)*($G$8:$G$34))</f>
        <v>14309530.575026616</v>
      </c>
    </row>
    <row r="68" spans="2:22" x14ac:dyDescent="0.2">
      <c r="R68" s="83">
        <f>R65-R67</f>
        <v>0</v>
      </c>
    </row>
    <row r="69" spans="2:22" x14ac:dyDescent="0.2">
      <c r="R69" s="83">
        <f>R65-J6</f>
        <v>-1.6763806343078613E-8</v>
      </c>
    </row>
  </sheetData>
  <mergeCells count="8">
    <mergeCell ref="I6:I7"/>
    <mergeCell ref="J6:J7"/>
    <mergeCell ref="B51:B52"/>
    <mergeCell ref="B6:B7"/>
    <mergeCell ref="C6:C7"/>
    <mergeCell ref="F6:F7"/>
    <mergeCell ref="G6:G7"/>
    <mergeCell ref="C51:Q5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381A1B-49CF-49B9-9391-5C4A9DFD57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Pagos</vt:lpstr>
      <vt:lpstr>MFETR</vt:lpstr>
      <vt:lpstr>EMPRESAS</vt:lpstr>
      <vt:lpstr>CPETR</vt:lpstr>
      <vt:lpstr>Entrada CUSSR</vt:lpstr>
      <vt:lpstr>Reliquidación CUSSR</vt:lpstr>
      <vt:lpstr>CUADRO DE PAGO CUSSR</vt:lpstr>
      <vt:lpstr>Pagos!Área_de_impresión</vt:lpstr>
      <vt:lpstr>CPETR</vt:lpstr>
      <vt:lpstr>'Entrada CUSSR'!DirectorioEntrada</vt:lpstr>
      <vt:lpstr>DirectorioEntrada</vt:lpstr>
      <vt:lpstr>'Entrada CUSSR'!FechaFacturacion</vt:lpstr>
      <vt:lpstr>FechaFacturacion</vt:lpstr>
      <vt:lpstr>'Entrada CUSSR'!Responsable</vt:lpstr>
      <vt:lpstr>'Entrada CUSSR'!version</vt:lpstr>
      <vt:lpstr>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Osvaldo  Sanhueza Ramirez</dc:creator>
  <cp:lastModifiedBy>Rubén Osvaldo  Sanhueza Ramirez</cp:lastModifiedBy>
  <dcterms:created xsi:type="dcterms:W3CDTF">2024-11-27T18:18:35Z</dcterms:created>
  <dcterms:modified xsi:type="dcterms:W3CDTF">2024-11-28T12:50:31Z</dcterms:modified>
</cp:coreProperties>
</file>