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.sanhueza\Desktop\DBCD\Distribuidoras\40_Cargos_tarifarios\2024\10 Octubre\Def\"/>
    </mc:Choice>
  </mc:AlternateContent>
  <xr:revisionPtr revIDLastSave="0" documentId="13_ncr:1_{B72A1215-948B-495F-8B35-5D19BC3B9192}" xr6:coauthVersionLast="47" xr6:coauthVersionMax="47" xr10:uidLastSave="{00000000-0000-0000-0000-000000000000}"/>
  <bookViews>
    <workbookView xWindow="-120" yWindow="-120" windowWidth="29040" windowHeight="15840" xr2:uid="{9D30C1FF-88EE-4A95-A0A6-FE585E87AA69}"/>
  </bookViews>
  <sheets>
    <sheet name="Entrada AR" sheetId="1" r:id="rId1"/>
    <sheet name="Entrada TD" sheetId="2" r:id="rId2"/>
    <sheet name="Entrada CDRGL" sheetId="3" r:id="rId3"/>
    <sheet name="Entrada 7TRAN" sheetId="4" r:id="rId4"/>
    <sheet name="Reliquidación TD" sheetId="6" r:id="rId5"/>
    <sheet name="Reliquidación AR" sheetId="7" r:id="rId6"/>
    <sheet name="CUADRO DE PAGO AR" sheetId="8" r:id="rId7"/>
    <sheet name="Reliquidación CD RGL" sheetId="9" r:id="rId8"/>
    <sheet name="CUADRO DE PAGO CD RGL" sheetId="10" r:id="rId9"/>
    <sheet name="Reliquidación 7TRAN" sheetId="11" r:id="rId10"/>
    <sheet name="CUADRO DE PAGO 7TRAN" sheetId="12" r:id="rId11"/>
  </sheets>
  <definedNames>
    <definedName name="_xlnm._FilterDatabase" localSheetId="10" hidden="1">'CUADRO DE PAGO 7TRAN'!$E$6:$F$33</definedName>
    <definedName name="_xlnm._FilterDatabase" localSheetId="6" hidden="1">'CUADRO DE PAGO AR'!$F$6:$H$33</definedName>
    <definedName name="_xlnm._FilterDatabase" localSheetId="8" hidden="1">'CUADRO DE PAGO CD RGL'!$E$6:$F$33</definedName>
    <definedName name="_xlnm._FilterDatabase" localSheetId="3" hidden="1">'Entrada 7TRAN'!$F$7:$J$44</definedName>
    <definedName name="_xlnm._FilterDatabase" localSheetId="0" hidden="1">'Entrada AR'!$F$6:$J$44</definedName>
    <definedName name="_xlnm._FilterDatabase" localSheetId="2" hidden="1">'Entrada CDRGL'!$F$7:$J$44</definedName>
    <definedName name="_xlnm._FilterDatabase" localSheetId="9" hidden="1">'Reliquidación 7TRAN'!$O$8:$O$44</definedName>
    <definedName name="_xlnm._FilterDatabase" localSheetId="7" hidden="1">'Reliquidación CD RGL'!$O$8:$O$44</definedName>
    <definedName name="_xlnm._FilterDatabase" localSheetId="4" hidden="1">'Reliquidación TD'!$O$8:$O$43</definedName>
    <definedName name="DirectorioEntrada" localSheetId="3">'Entrada 7TRAN'!$G$3</definedName>
    <definedName name="DirectorioEntrada" localSheetId="0">'Entrada AR'!$G$3</definedName>
    <definedName name="DirectorioEntrada" localSheetId="2">'Entrada CDRGL'!$G$3</definedName>
    <definedName name="DirectorioEntrada" localSheetId="1">'Entrada TD'!$G$3</definedName>
    <definedName name="FechaFacturacion" localSheetId="3">'Entrada 7TRAN'!$B$3</definedName>
    <definedName name="FechaFacturacion" localSheetId="0">'Entrada AR'!$B$3</definedName>
    <definedName name="FechaFacturacion" localSheetId="2">'Entrada CDRGL'!$B$3</definedName>
    <definedName name="FechaFacturacion" localSheetId="1">'Entrada TD'!$B$3</definedName>
    <definedName name="FechaFacturacion">'Entrada AR'!$B$3</definedName>
    <definedName name="Responsable" localSheetId="3">'Entrada 7TRAN'!$G$4</definedName>
    <definedName name="Responsable" localSheetId="0">'Entrada AR'!$G$4</definedName>
    <definedName name="Responsable" localSheetId="2">'Entrada CDRGL'!$G$4</definedName>
    <definedName name="Responsable" localSheetId="1">'Entrada TD'!$G$4</definedName>
    <definedName name="version" localSheetId="3">'Entrada 7TRAN'!$G$2</definedName>
    <definedName name="version" localSheetId="0">'Entrada AR'!$G$2</definedName>
    <definedName name="version" localSheetId="2">'Entrada CDRGL'!$G$2</definedName>
    <definedName name="version" localSheetId="1">'Entrada TD'!$G$2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2" l="1"/>
  <c r="C42" i="12"/>
  <c r="F32" i="12" s="1"/>
  <c r="C41" i="12"/>
  <c r="C40" i="12"/>
  <c r="C39" i="12"/>
  <c r="C38" i="12"/>
  <c r="C37" i="12"/>
  <c r="C36" i="12"/>
  <c r="F29" i="12" s="1"/>
  <c r="C35" i="12"/>
  <c r="F28" i="12" s="1"/>
  <c r="C34" i="12"/>
  <c r="F27" i="12" s="1"/>
  <c r="C33" i="12"/>
  <c r="C32" i="12"/>
  <c r="F31" i="12"/>
  <c r="C31" i="12"/>
  <c r="F24" i="12" s="1"/>
  <c r="F30" i="12"/>
  <c r="C30" i="12"/>
  <c r="F23" i="12" s="1"/>
  <c r="C65" i="12" s="1"/>
  <c r="C29" i="12"/>
  <c r="C28" i="12"/>
  <c r="C27" i="12"/>
  <c r="F20" i="12" s="1"/>
  <c r="F26" i="12"/>
  <c r="C67" i="12" s="1"/>
  <c r="C26" i="12"/>
  <c r="F19" i="12" s="1"/>
  <c r="F25" i="12"/>
  <c r="C25" i="12"/>
  <c r="C24" i="12"/>
  <c r="C23" i="12"/>
  <c r="F16" i="12" s="1"/>
  <c r="F22" i="12"/>
  <c r="C22" i="12"/>
  <c r="F15" i="12" s="1"/>
  <c r="F21" i="12"/>
  <c r="C21" i="12"/>
  <c r="C20" i="12"/>
  <c r="C19" i="12"/>
  <c r="F18" i="12"/>
  <c r="C18" i="12"/>
  <c r="F17" i="12"/>
  <c r="C17" i="12"/>
  <c r="C16" i="12"/>
  <c r="C15" i="12"/>
  <c r="F14" i="12"/>
  <c r="C14" i="12"/>
  <c r="F12" i="12" s="1"/>
  <c r="F13" i="12"/>
  <c r="C13" i="12"/>
  <c r="C12" i="12"/>
  <c r="C11" i="12"/>
  <c r="F11" i="12" s="1"/>
  <c r="F10" i="12"/>
  <c r="C10" i="12"/>
  <c r="F9" i="12"/>
  <c r="C9" i="12"/>
  <c r="F8" i="12"/>
  <c r="E72" i="12" s="1"/>
  <c r="C8" i="12"/>
  <c r="B3" i="12"/>
  <c r="J44" i="11"/>
  <c r="H44" i="11"/>
  <c r="I43" i="11"/>
  <c r="G43" i="11"/>
  <c r="L43" i="11" s="1"/>
  <c r="F43" i="11"/>
  <c r="E43" i="11"/>
  <c r="D43" i="11"/>
  <c r="C43" i="11"/>
  <c r="G42" i="11"/>
  <c r="F42" i="11"/>
  <c r="E42" i="11"/>
  <c r="D42" i="11"/>
  <c r="C42" i="11"/>
  <c r="I41" i="11"/>
  <c r="G41" i="11"/>
  <c r="L41" i="11" s="1"/>
  <c r="F41" i="11"/>
  <c r="E41" i="11"/>
  <c r="D41" i="11"/>
  <c r="C41" i="11"/>
  <c r="G40" i="11"/>
  <c r="F40" i="11"/>
  <c r="E40" i="11"/>
  <c r="D40" i="11"/>
  <c r="C40" i="11"/>
  <c r="I39" i="11"/>
  <c r="G39" i="11"/>
  <c r="L39" i="11" s="1"/>
  <c r="F39" i="11"/>
  <c r="E39" i="11"/>
  <c r="D39" i="11"/>
  <c r="C39" i="11"/>
  <c r="G38" i="11"/>
  <c r="F38" i="11"/>
  <c r="E38" i="11"/>
  <c r="D38" i="11"/>
  <c r="C38" i="11"/>
  <c r="I37" i="11"/>
  <c r="G37" i="11"/>
  <c r="L37" i="11" s="1"/>
  <c r="F37" i="11"/>
  <c r="E37" i="11"/>
  <c r="D37" i="11"/>
  <c r="C37" i="11"/>
  <c r="G36" i="11"/>
  <c r="F36" i="11"/>
  <c r="E36" i="11"/>
  <c r="D36" i="11"/>
  <c r="C36" i="11"/>
  <c r="I35" i="11"/>
  <c r="G35" i="11"/>
  <c r="L35" i="11" s="1"/>
  <c r="F35" i="11"/>
  <c r="E35" i="11"/>
  <c r="D35" i="11"/>
  <c r="C35" i="11"/>
  <c r="G34" i="11"/>
  <c r="F34" i="11"/>
  <c r="E34" i="11"/>
  <c r="D34" i="11"/>
  <c r="C34" i="11"/>
  <c r="I33" i="11"/>
  <c r="G33" i="11"/>
  <c r="L33" i="11" s="1"/>
  <c r="F33" i="11"/>
  <c r="E33" i="11"/>
  <c r="D33" i="11"/>
  <c r="C33" i="11"/>
  <c r="G32" i="11"/>
  <c r="F32" i="11"/>
  <c r="E32" i="11"/>
  <c r="D32" i="11"/>
  <c r="C32" i="11"/>
  <c r="I31" i="11"/>
  <c r="G31" i="11"/>
  <c r="L31" i="11" s="1"/>
  <c r="F31" i="11"/>
  <c r="E31" i="11"/>
  <c r="D31" i="11"/>
  <c r="C31" i="11"/>
  <c r="G30" i="11"/>
  <c r="F30" i="11"/>
  <c r="E30" i="11"/>
  <c r="D30" i="11"/>
  <c r="C30" i="11"/>
  <c r="I29" i="11"/>
  <c r="G29" i="11"/>
  <c r="L29" i="11" s="1"/>
  <c r="F29" i="11"/>
  <c r="E29" i="11"/>
  <c r="D29" i="11"/>
  <c r="C29" i="11"/>
  <c r="G28" i="11"/>
  <c r="F28" i="11"/>
  <c r="E28" i="11"/>
  <c r="D28" i="11"/>
  <c r="C28" i="11"/>
  <c r="I27" i="11"/>
  <c r="G27" i="11"/>
  <c r="L27" i="11" s="1"/>
  <c r="F27" i="11"/>
  <c r="E27" i="11"/>
  <c r="D27" i="11"/>
  <c r="C27" i="11"/>
  <c r="G26" i="11"/>
  <c r="F26" i="11"/>
  <c r="E26" i="11"/>
  <c r="D26" i="11"/>
  <c r="C26" i="11"/>
  <c r="I25" i="11"/>
  <c r="G25" i="11"/>
  <c r="L25" i="11" s="1"/>
  <c r="F25" i="11"/>
  <c r="E25" i="11"/>
  <c r="D25" i="11"/>
  <c r="C25" i="11"/>
  <c r="G24" i="11"/>
  <c r="F24" i="11"/>
  <c r="E24" i="11"/>
  <c r="D24" i="11"/>
  <c r="C24" i="11"/>
  <c r="I23" i="11"/>
  <c r="G23" i="11"/>
  <c r="L23" i="11" s="1"/>
  <c r="F23" i="11"/>
  <c r="E23" i="11"/>
  <c r="D23" i="11"/>
  <c r="C23" i="11"/>
  <c r="G22" i="11"/>
  <c r="F22" i="11"/>
  <c r="E22" i="11"/>
  <c r="D22" i="11"/>
  <c r="C22" i="11"/>
  <c r="I21" i="11"/>
  <c r="G21" i="11"/>
  <c r="L21" i="11" s="1"/>
  <c r="F21" i="11"/>
  <c r="E21" i="11"/>
  <c r="D21" i="11"/>
  <c r="C21" i="11"/>
  <c r="G20" i="11"/>
  <c r="F20" i="11"/>
  <c r="E20" i="11"/>
  <c r="D20" i="11"/>
  <c r="C20" i="11"/>
  <c r="I19" i="11"/>
  <c r="G19" i="11"/>
  <c r="L19" i="11" s="1"/>
  <c r="F19" i="11"/>
  <c r="E19" i="11"/>
  <c r="D19" i="11"/>
  <c r="C19" i="11"/>
  <c r="G18" i="11"/>
  <c r="F18" i="11"/>
  <c r="E18" i="11"/>
  <c r="D18" i="11"/>
  <c r="C18" i="11"/>
  <c r="I17" i="11"/>
  <c r="G17" i="11"/>
  <c r="L17" i="11" s="1"/>
  <c r="F17" i="11"/>
  <c r="E17" i="11"/>
  <c r="D17" i="11"/>
  <c r="C17" i="11"/>
  <c r="G16" i="11"/>
  <c r="F16" i="11"/>
  <c r="E16" i="11"/>
  <c r="D16" i="11"/>
  <c r="C16" i="11"/>
  <c r="I15" i="11"/>
  <c r="G15" i="11"/>
  <c r="L15" i="11" s="1"/>
  <c r="F15" i="11"/>
  <c r="E15" i="11"/>
  <c r="D15" i="11"/>
  <c r="C15" i="11"/>
  <c r="G14" i="11"/>
  <c r="F14" i="11"/>
  <c r="E14" i="11"/>
  <c r="D14" i="11"/>
  <c r="C14" i="11"/>
  <c r="I13" i="11"/>
  <c r="G13" i="11"/>
  <c r="L13" i="11" s="1"/>
  <c r="F13" i="11"/>
  <c r="E13" i="11"/>
  <c r="D13" i="11"/>
  <c r="C13" i="11"/>
  <c r="G12" i="11"/>
  <c r="F12" i="11"/>
  <c r="E12" i="11"/>
  <c r="D12" i="11"/>
  <c r="C12" i="11"/>
  <c r="I11" i="11"/>
  <c r="G11" i="11"/>
  <c r="L11" i="11" s="1"/>
  <c r="F11" i="11"/>
  <c r="E11" i="11"/>
  <c r="D11" i="11"/>
  <c r="C11" i="11"/>
  <c r="G10" i="11"/>
  <c r="F10" i="11"/>
  <c r="E10" i="11"/>
  <c r="D10" i="11"/>
  <c r="D44" i="11" s="1"/>
  <c r="C10" i="11"/>
  <c r="I9" i="11"/>
  <c r="G9" i="11"/>
  <c r="G44" i="11" s="1"/>
  <c r="F9" i="11"/>
  <c r="F44" i="11" s="1"/>
  <c r="E9" i="11"/>
  <c r="E44" i="11" s="1"/>
  <c r="D9" i="11"/>
  <c r="C9" i="11"/>
  <c r="C44" i="11" s="1"/>
  <c r="I4" i="11"/>
  <c r="K42" i="11" s="1"/>
  <c r="B3" i="11"/>
  <c r="H6" i="11" s="1"/>
  <c r="C42" i="10"/>
  <c r="C41" i="10"/>
  <c r="C40" i="10"/>
  <c r="C39" i="10"/>
  <c r="C38" i="10"/>
  <c r="C37" i="10"/>
  <c r="C36" i="10"/>
  <c r="C35" i="10"/>
  <c r="C34" i="10"/>
  <c r="C33" i="10"/>
  <c r="F32" i="10"/>
  <c r="C32" i="10"/>
  <c r="F25" i="10" s="1"/>
  <c r="F31" i="10"/>
  <c r="C31" i="10"/>
  <c r="F30" i="10"/>
  <c r="C30" i="10"/>
  <c r="F29" i="10"/>
  <c r="C29" i="10"/>
  <c r="F28" i="10"/>
  <c r="C28" i="10"/>
  <c r="F21" i="10" s="1"/>
  <c r="F27" i="10"/>
  <c r="C27" i="10"/>
  <c r="F26" i="10"/>
  <c r="C26" i="10"/>
  <c r="C25" i="10"/>
  <c r="F24" i="10"/>
  <c r="C24" i="10"/>
  <c r="F17" i="10" s="1"/>
  <c r="F23" i="10"/>
  <c r="C23" i="10"/>
  <c r="F22" i="10"/>
  <c r="C22" i="10"/>
  <c r="C21" i="10"/>
  <c r="F20" i="10"/>
  <c r="C20" i="10"/>
  <c r="F19" i="10"/>
  <c r="C19" i="10"/>
  <c r="F18" i="10"/>
  <c r="C18" i="10"/>
  <c r="C17" i="10"/>
  <c r="F16" i="10"/>
  <c r="C16" i="10"/>
  <c r="F15" i="10"/>
  <c r="C15" i="10"/>
  <c r="F14" i="10"/>
  <c r="C14" i="10"/>
  <c r="F13" i="10"/>
  <c r="C13" i="10"/>
  <c r="C12" i="10"/>
  <c r="F12" i="10" s="1"/>
  <c r="F11" i="10"/>
  <c r="C11" i="10"/>
  <c r="F10" i="10"/>
  <c r="C10" i="10"/>
  <c r="F9" i="10"/>
  <c r="C9" i="10"/>
  <c r="C8" i="10"/>
  <c r="C43" i="10" s="1"/>
  <c r="B3" i="10"/>
  <c r="J44" i="9"/>
  <c r="H44" i="9"/>
  <c r="G43" i="9"/>
  <c r="F43" i="9"/>
  <c r="E43" i="9"/>
  <c r="D43" i="9"/>
  <c r="C43" i="9"/>
  <c r="G42" i="9"/>
  <c r="F42" i="9"/>
  <c r="E42" i="9"/>
  <c r="D42" i="9"/>
  <c r="C42" i="9"/>
  <c r="G41" i="9"/>
  <c r="F41" i="9"/>
  <c r="E41" i="9"/>
  <c r="D41" i="9"/>
  <c r="C41" i="9"/>
  <c r="G40" i="9"/>
  <c r="F40" i="9"/>
  <c r="E40" i="9"/>
  <c r="D40" i="9"/>
  <c r="C40" i="9"/>
  <c r="G39" i="9"/>
  <c r="F39" i="9"/>
  <c r="E39" i="9"/>
  <c r="D39" i="9"/>
  <c r="C39" i="9"/>
  <c r="G38" i="9"/>
  <c r="F38" i="9"/>
  <c r="E38" i="9"/>
  <c r="D38" i="9"/>
  <c r="C38" i="9"/>
  <c r="G37" i="9"/>
  <c r="F37" i="9"/>
  <c r="E37" i="9"/>
  <c r="D37" i="9"/>
  <c r="C37" i="9"/>
  <c r="G36" i="9"/>
  <c r="F36" i="9"/>
  <c r="E36" i="9"/>
  <c r="D36" i="9"/>
  <c r="C36" i="9"/>
  <c r="G35" i="9"/>
  <c r="F35" i="9"/>
  <c r="E35" i="9"/>
  <c r="D35" i="9"/>
  <c r="C35" i="9"/>
  <c r="G34" i="9"/>
  <c r="F34" i="9"/>
  <c r="E34" i="9"/>
  <c r="D34" i="9"/>
  <c r="C34" i="9"/>
  <c r="G33" i="9"/>
  <c r="F33" i="9"/>
  <c r="E33" i="9"/>
  <c r="D33" i="9"/>
  <c r="C33" i="9"/>
  <c r="G32" i="9"/>
  <c r="F32" i="9"/>
  <c r="E32" i="9"/>
  <c r="D32" i="9"/>
  <c r="C32" i="9"/>
  <c r="G31" i="9"/>
  <c r="F31" i="9"/>
  <c r="E31" i="9"/>
  <c r="D31" i="9"/>
  <c r="C31" i="9"/>
  <c r="G30" i="9"/>
  <c r="F30" i="9"/>
  <c r="E30" i="9"/>
  <c r="D30" i="9"/>
  <c r="C30" i="9"/>
  <c r="G29" i="9"/>
  <c r="F29" i="9"/>
  <c r="E29" i="9"/>
  <c r="D29" i="9"/>
  <c r="C29" i="9"/>
  <c r="G28" i="9"/>
  <c r="F28" i="9"/>
  <c r="E28" i="9"/>
  <c r="D28" i="9"/>
  <c r="C28" i="9"/>
  <c r="G27" i="9"/>
  <c r="F27" i="9"/>
  <c r="E27" i="9"/>
  <c r="D27" i="9"/>
  <c r="C27" i="9"/>
  <c r="G26" i="9"/>
  <c r="F26" i="9"/>
  <c r="E26" i="9"/>
  <c r="D26" i="9"/>
  <c r="C26" i="9"/>
  <c r="G25" i="9"/>
  <c r="F25" i="9"/>
  <c r="E25" i="9"/>
  <c r="D25" i="9"/>
  <c r="C25" i="9"/>
  <c r="G24" i="9"/>
  <c r="F24" i="9"/>
  <c r="E24" i="9"/>
  <c r="D24" i="9"/>
  <c r="C24" i="9"/>
  <c r="G23" i="9"/>
  <c r="F23" i="9"/>
  <c r="E23" i="9"/>
  <c r="D23" i="9"/>
  <c r="C23" i="9"/>
  <c r="G22" i="9"/>
  <c r="F22" i="9"/>
  <c r="E22" i="9"/>
  <c r="D22" i="9"/>
  <c r="C22" i="9"/>
  <c r="G21" i="9"/>
  <c r="F21" i="9"/>
  <c r="E21" i="9"/>
  <c r="D21" i="9"/>
  <c r="C21" i="9"/>
  <c r="G20" i="9"/>
  <c r="F20" i="9"/>
  <c r="E20" i="9"/>
  <c r="D20" i="9"/>
  <c r="C20" i="9"/>
  <c r="G19" i="9"/>
  <c r="F19" i="9"/>
  <c r="E19" i="9"/>
  <c r="D19" i="9"/>
  <c r="C19" i="9"/>
  <c r="G18" i="9"/>
  <c r="F18" i="9"/>
  <c r="E18" i="9"/>
  <c r="D18" i="9"/>
  <c r="C18" i="9"/>
  <c r="G17" i="9"/>
  <c r="F17" i="9"/>
  <c r="E17" i="9"/>
  <c r="D17" i="9"/>
  <c r="C17" i="9"/>
  <c r="G16" i="9"/>
  <c r="F16" i="9"/>
  <c r="E16" i="9"/>
  <c r="D16" i="9"/>
  <c r="C16" i="9"/>
  <c r="G15" i="9"/>
  <c r="F15" i="9"/>
  <c r="E15" i="9"/>
  <c r="D15" i="9"/>
  <c r="C15" i="9"/>
  <c r="G14" i="9"/>
  <c r="F14" i="9"/>
  <c r="E14" i="9"/>
  <c r="D14" i="9"/>
  <c r="C14" i="9"/>
  <c r="G13" i="9"/>
  <c r="F13" i="9"/>
  <c r="E13" i="9"/>
  <c r="D13" i="9"/>
  <c r="C13" i="9"/>
  <c r="G12" i="9"/>
  <c r="F12" i="9"/>
  <c r="E12" i="9"/>
  <c r="D12" i="9"/>
  <c r="C12" i="9"/>
  <c r="I11" i="9"/>
  <c r="G11" i="9"/>
  <c r="F11" i="9"/>
  <c r="E11" i="9"/>
  <c r="D11" i="9"/>
  <c r="C11" i="9"/>
  <c r="K10" i="9"/>
  <c r="I10" i="9"/>
  <c r="G10" i="9"/>
  <c r="L10" i="9" s="1"/>
  <c r="F10" i="9"/>
  <c r="F44" i="9" s="1"/>
  <c r="E10" i="9"/>
  <c r="D10" i="9"/>
  <c r="C10" i="9"/>
  <c r="I9" i="9"/>
  <c r="G9" i="9"/>
  <c r="G44" i="9" s="1"/>
  <c r="F9" i="9"/>
  <c r="E9" i="9"/>
  <c r="E44" i="9" s="1"/>
  <c r="D9" i="9"/>
  <c r="D44" i="9" s="1"/>
  <c r="C9" i="9"/>
  <c r="C44" i="9" s="1"/>
  <c r="I4" i="9"/>
  <c r="K14" i="9" s="1"/>
  <c r="B3" i="9"/>
  <c r="H6" i="9" s="1"/>
  <c r="G33" i="8"/>
  <c r="B3" i="8"/>
  <c r="R44" i="7"/>
  <c r="J44" i="7"/>
  <c r="H44" i="7"/>
  <c r="G43" i="7"/>
  <c r="F43" i="7"/>
  <c r="E43" i="7"/>
  <c r="D43" i="7"/>
  <c r="C43" i="7"/>
  <c r="G42" i="7"/>
  <c r="F42" i="7"/>
  <c r="E42" i="7"/>
  <c r="D42" i="7"/>
  <c r="C42" i="7"/>
  <c r="K41" i="7"/>
  <c r="G41" i="7"/>
  <c r="F41" i="7"/>
  <c r="E41" i="7"/>
  <c r="D41" i="7"/>
  <c r="C41" i="7"/>
  <c r="G40" i="7"/>
  <c r="F40" i="7"/>
  <c r="E40" i="7"/>
  <c r="D40" i="7"/>
  <c r="C40" i="7"/>
  <c r="G39" i="7"/>
  <c r="F39" i="7"/>
  <c r="E39" i="7"/>
  <c r="D39" i="7"/>
  <c r="C39" i="7"/>
  <c r="G38" i="7"/>
  <c r="F38" i="7"/>
  <c r="E38" i="7"/>
  <c r="D38" i="7"/>
  <c r="C38" i="7"/>
  <c r="K37" i="7"/>
  <c r="G37" i="7"/>
  <c r="F37" i="7"/>
  <c r="E37" i="7"/>
  <c r="D37" i="7"/>
  <c r="C37" i="7"/>
  <c r="G36" i="7"/>
  <c r="F36" i="7"/>
  <c r="E36" i="7"/>
  <c r="D36" i="7"/>
  <c r="C36" i="7"/>
  <c r="G35" i="7"/>
  <c r="F35" i="7"/>
  <c r="E35" i="7"/>
  <c r="D35" i="7"/>
  <c r="C35" i="7"/>
  <c r="G34" i="7"/>
  <c r="F34" i="7"/>
  <c r="E34" i="7"/>
  <c r="D34" i="7"/>
  <c r="C34" i="7"/>
  <c r="K33" i="7"/>
  <c r="G33" i="7"/>
  <c r="F33" i="7"/>
  <c r="E33" i="7"/>
  <c r="D33" i="7"/>
  <c r="C33" i="7"/>
  <c r="G32" i="7"/>
  <c r="F32" i="7"/>
  <c r="E32" i="7"/>
  <c r="D32" i="7"/>
  <c r="C32" i="7"/>
  <c r="G31" i="7"/>
  <c r="F31" i="7"/>
  <c r="E31" i="7"/>
  <c r="D31" i="7"/>
  <c r="C31" i="7"/>
  <c r="G30" i="7"/>
  <c r="F30" i="7"/>
  <c r="E30" i="7"/>
  <c r="D30" i="7"/>
  <c r="C30" i="7"/>
  <c r="K29" i="7"/>
  <c r="G29" i="7"/>
  <c r="F29" i="7"/>
  <c r="E29" i="7"/>
  <c r="D29" i="7"/>
  <c r="C29" i="7"/>
  <c r="G28" i="7"/>
  <c r="F28" i="7"/>
  <c r="E28" i="7"/>
  <c r="D28" i="7"/>
  <c r="C28" i="7"/>
  <c r="G27" i="7"/>
  <c r="F27" i="7"/>
  <c r="E27" i="7"/>
  <c r="D27" i="7"/>
  <c r="C27" i="7"/>
  <c r="G26" i="7"/>
  <c r="F26" i="7"/>
  <c r="E26" i="7"/>
  <c r="D26" i="7"/>
  <c r="C26" i="7"/>
  <c r="K25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K21" i="7"/>
  <c r="G21" i="7"/>
  <c r="F21" i="7"/>
  <c r="E21" i="7"/>
  <c r="D21" i="7"/>
  <c r="C21" i="7"/>
  <c r="G20" i="7"/>
  <c r="F20" i="7"/>
  <c r="E20" i="7"/>
  <c r="D20" i="7"/>
  <c r="C20" i="7"/>
  <c r="G19" i="7"/>
  <c r="F19" i="7"/>
  <c r="E19" i="7"/>
  <c r="D19" i="7"/>
  <c r="C19" i="7"/>
  <c r="G18" i="7"/>
  <c r="F18" i="7"/>
  <c r="E18" i="7"/>
  <c r="D18" i="7"/>
  <c r="C18" i="7"/>
  <c r="K17" i="7"/>
  <c r="G17" i="7"/>
  <c r="F17" i="7"/>
  <c r="E17" i="7"/>
  <c r="D17" i="7"/>
  <c r="C17" i="7"/>
  <c r="K16" i="7"/>
  <c r="G16" i="7"/>
  <c r="F16" i="7"/>
  <c r="E16" i="7"/>
  <c r="D16" i="7"/>
  <c r="C16" i="7"/>
  <c r="G15" i="7"/>
  <c r="F15" i="7"/>
  <c r="E15" i="7"/>
  <c r="D15" i="7"/>
  <c r="C15" i="7"/>
  <c r="K14" i="7"/>
  <c r="G14" i="7"/>
  <c r="F14" i="7"/>
  <c r="E14" i="7"/>
  <c r="D14" i="7"/>
  <c r="C14" i="7"/>
  <c r="K13" i="7"/>
  <c r="G13" i="7"/>
  <c r="F13" i="7"/>
  <c r="E13" i="7"/>
  <c r="D13" i="7"/>
  <c r="C13" i="7"/>
  <c r="K12" i="7"/>
  <c r="G12" i="7"/>
  <c r="F12" i="7"/>
  <c r="E12" i="7"/>
  <c r="D12" i="7"/>
  <c r="C12" i="7"/>
  <c r="K11" i="7"/>
  <c r="G11" i="7"/>
  <c r="F11" i="7"/>
  <c r="E11" i="7"/>
  <c r="D11" i="7"/>
  <c r="C11" i="7"/>
  <c r="K10" i="7"/>
  <c r="G10" i="7"/>
  <c r="F10" i="7"/>
  <c r="E10" i="7"/>
  <c r="D10" i="7"/>
  <c r="C10" i="7"/>
  <c r="K9" i="7"/>
  <c r="G9" i="7"/>
  <c r="F9" i="7"/>
  <c r="F44" i="7" s="1"/>
  <c r="E9" i="7"/>
  <c r="E44" i="7" s="1"/>
  <c r="D9" i="7"/>
  <c r="D44" i="7" s="1"/>
  <c r="C9" i="7"/>
  <c r="C44" i="7" s="1"/>
  <c r="L6" i="7"/>
  <c r="I4" i="7"/>
  <c r="I41" i="7" s="1"/>
  <c r="B3" i="7"/>
  <c r="H6" i="7" s="1"/>
  <c r="J44" i="6"/>
  <c r="H44" i="6"/>
  <c r="K43" i="6"/>
  <c r="I43" i="6"/>
  <c r="G43" i="6"/>
  <c r="L43" i="6" s="1"/>
  <c r="F43" i="6"/>
  <c r="E43" i="6"/>
  <c r="D43" i="6"/>
  <c r="C43" i="6"/>
  <c r="K42" i="6"/>
  <c r="I42" i="6"/>
  <c r="G42" i="6"/>
  <c r="L42" i="6" s="1"/>
  <c r="M42" i="6" s="1"/>
  <c r="F42" i="6"/>
  <c r="E42" i="6"/>
  <c r="D42" i="6"/>
  <c r="C42" i="6"/>
  <c r="K41" i="6"/>
  <c r="I41" i="6"/>
  <c r="G41" i="6"/>
  <c r="L41" i="6" s="1"/>
  <c r="F41" i="6"/>
  <c r="E41" i="6"/>
  <c r="D41" i="6"/>
  <c r="C41" i="6"/>
  <c r="L40" i="6"/>
  <c r="M40" i="6" s="1"/>
  <c r="K40" i="6"/>
  <c r="I40" i="6"/>
  <c r="G40" i="6"/>
  <c r="F40" i="6"/>
  <c r="E40" i="6"/>
  <c r="D40" i="6"/>
  <c r="C40" i="6"/>
  <c r="K39" i="6"/>
  <c r="I39" i="6"/>
  <c r="G39" i="6"/>
  <c r="L39" i="6" s="1"/>
  <c r="F39" i="6"/>
  <c r="E39" i="6"/>
  <c r="D39" i="6"/>
  <c r="C39" i="6"/>
  <c r="L38" i="6"/>
  <c r="M38" i="6" s="1"/>
  <c r="K38" i="6"/>
  <c r="I38" i="6"/>
  <c r="G38" i="6"/>
  <c r="F38" i="6"/>
  <c r="E38" i="6"/>
  <c r="D38" i="6"/>
  <c r="C38" i="6"/>
  <c r="K37" i="6"/>
  <c r="I37" i="6"/>
  <c r="G37" i="6"/>
  <c r="L37" i="6" s="1"/>
  <c r="F37" i="6"/>
  <c r="E37" i="6"/>
  <c r="D37" i="6"/>
  <c r="C37" i="6"/>
  <c r="L36" i="6"/>
  <c r="M36" i="6" s="1"/>
  <c r="K36" i="6"/>
  <c r="I36" i="6"/>
  <c r="G36" i="6"/>
  <c r="F36" i="6"/>
  <c r="E36" i="6"/>
  <c r="D36" i="6"/>
  <c r="C36" i="6"/>
  <c r="K35" i="6"/>
  <c r="I35" i="6"/>
  <c r="G35" i="6"/>
  <c r="L35" i="6" s="1"/>
  <c r="F35" i="6"/>
  <c r="E35" i="6"/>
  <c r="D35" i="6"/>
  <c r="C35" i="6"/>
  <c r="K34" i="6"/>
  <c r="I34" i="6"/>
  <c r="G34" i="6"/>
  <c r="L34" i="6" s="1"/>
  <c r="M34" i="6" s="1"/>
  <c r="F34" i="6"/>
  <c r="E34" i="6"/>
  <c r="D34" i="6"/>
  <c r="C34" i="6"/>
  <c r="K33" i="6"/>
  <c r="I33" i="6"/>
  <c r="G33" i="6"/>
  <c r="L33" i="6" s="1"/>
  <c r="F33" i="6"/>
  <c r="E33" i="6"/>
  <c r="D33" i="6"/>
  <c r="C33" i="6"/>
  <c r="L32" i="6"/>
  <c r="M32" i="6" s="1"/>
  <c r="K32" i="6"/>
  <c r="I32" i="6"/>
  <c r="G32" i="6"/>
  <c r="F32" i="6"/>
  <c r="E32" i="6"/>
  <c r="D32" i="6"/>
  <c r="C32" i="6"/>
  <c r="K31" i="6"/>
  <c r="I31" i="6"/>
  <c r="G31" i="6"/>
  <c r="L31" i="6" s="1"/>
  <c r="F31" i="6"/>
  <c r="E31" i="6"/>
  <c r="D31" i="6"/>
  <c r="C31" i="6"/>
  <c r="K30" i="6"/>
  <c r="I30" i="6"/>
  <c r="G30" i="6"/>
  <c r="L30" i="6" s="1"/>
  <c r="M30" i="6" s="1"/>
  <c r="F30" i="6"/>
  <c r="E30" i="6"/>
  <c r="D30" i="6"/>
  <c r="C30" i="6"/>
  <c r="K29" i="6"/>
  <c r="I29" i="6"/>
  <c r="G29" i="6"/>
  <c r="L29" i="6" s="1"/>
  <c r="F29" i="6"/>
  <c r="E29" i="6"/>
  <c r="D29" i="6"/>
  <c r="C29" i="6"/>
  <c r="K28" i="6"/>
  <c r="I28" i="6"/>
  <c r="G28" i="6"/>
  <c r="L28" i="6" s="1"/>
  <c r="M28" i="6" s="1"/>
  <c r="F28" i="6"/>
  <c r="E28" i="6"/>
  <c r="D28" i="6"/>
  <c r="C28" i="6"/>
  <c r="K27" i="6"/>
  <c r="I27" i="6"/>
  <c r="G27" i="6"/>
  <c r="L27" i="6" s="1"/>
  <c r="F27" i="6"/>
  <c r="E27" i="6"/>
  <c r="D27" i="6"/>
  <c r="C27" i="6"/>
  <c r="L26" i="6"/>
  <c r="M26" i="6" s="1"/>
  <c r="K26" i="6"/>
  <c r="I26" i="6"/>
  <c r="G26" i="6"/>
  <c r="F26" i="6"/>
  <c r="E26" i="6"/>
  <c r="D26" i="6"/>
  <c r="C26" i="6"/>
  <c r="K25" i="6"/>
  <c r="I25" i="6"/>
  <c r="G25" i="6"/>
  <c r="L25" i="6" s="1"/>
  <c r="F25" i="6"/>
  <c r="E25" i="6"/>
  <c r="D25" i="6"/>
  <c r="C25" i="6"/>
  <c r="L24" i="6"/>
  <c r="M24" i="6" s="1"/>
  <c r="K24" i="6"/>
  <c r="I24" i="6"/>
  <c r="G24" i="6"/>
  <c r="F24" i="6"/>
  <c r="E24" i="6"/>
  <c r="D24" i="6"/>
  <c r="C24" i="6"/>
  <c r="K23" i="6"/>
  <c r="I23" i="6"/>
  <c r="G23" i="6"/>
  <c r="L23" i="6" s="1"/>
  <c r="F23" i="6"/>
  <c r="E23" i="6"/>
  <c r="D23" i="6"/>
  <c r="C23" i="6"/>
  <c r="K22" i="6"/>
  <c r="I22" i="6"/>
  <c r="G22" i="6"/>
  <c r="L22" i="6" s="1"/>
  <c r="F22" i="6"/>
  <c r="E22" i="6"/>
  <c r="D22" i="6"/>
  <c r="C22" i="6"/>
  <c r="K21" i="6"/>
  <c r="I21" i="6"/>
  <c r="G21" i="6"/>
  <c r="L21" i="6" s="1"/>
  <c r="F21" i="6"/>
  <c r="E21" i="6"/>
  <c r="D21" i="6"/>
  <c r="C21" i="6"/>
  <c r="L20" i="6"/>
  <c r="M20" i="6" s="1"/>
  <c r="K20" i="6"/>
  <c r="I20" i="6"/>
  <c r="G20" i="6"/>
  <c r="F20" i="6"/>
  <c r="E20" i="6"/>
  <c r="D20" i="6"/>
  <c r="C20" i="6"/>
  <c r="K19" i="6"/>
  <c r="I19" i="6"/>
  <c r="G19" i="6"/>
  <c r="L19" i="6" s="1"/>
  <c r="F19" i="6"/>
  <c r="E19" i="6"/>
  <c r="D19" i="6"/>
  <c r="C19" i="6"/>
  <c r="K18" i="6"/>
  <c r="I18" i="6"/>
  <c r="G18" i="6"/>
  <c r="L18" i="6" s="1"/>
  <c r="F18" i="6"/>
  <c r="E18" i="6"/>
  <c r="D18" i="6"/>
  <c r="C18" i="6"/>
  <c r="K17" i="6"/>
  <c r="I17" i="6"/>
  <c r="G17" i="6"/>
  <c r="L17" i="6" s="1"/>
  <c r="F17" i="6"/>
  <c r="E17" i="6"/>
  <c r="D17" i="6"/>
  <c r="C17" i="6"/>
  <c r="K16" i="6"/>
  <c r="I16" i="6"/>
  <c r="G16" i="6"/>
  <c r="L16" i="6" s="1"/>
  <c r="M16" i="6" s="1"/>
  <c r="F16" i="6"/>
  <c r="E16" i="6"/>
  <c r="D16" i="6"/>
  <c r="C16" i="6"/>
  <c r="K15" i="6"/>
  <c r="I15" i="6"/>
  <c r="G15" i="6"/>
  <c r="L15" i="6" s="1"/>
  <c r="F15" i="6"/>
  <c r="E15" i="6"/>
  <c r="D15" i="6"/>
  <c r="C15" i="6"/>
  <c r="L14" i="6"/>
  <c r="K14" i="6"/>
  <c r="I14" i="6"/>
  <c r="G14" i="6"/>
  <c r="F14" i="6"/>
  <c r="E14" i="6"/>
  <c r="D14" i="6"/>
  <c r="C14" i="6"/>
  <c r="K13" i="6"/>
  <c r="I13" i="6"/>
  <c r="G13" i="6"/>
  <c r="L13" i="6" s="1"/>
  <c r="F13" i="6"/>
  <c r="E13" i="6"/>
  <c r="D13" i="6"/>
  <c r="C13" i="6"/>
  <c r="L12" i="6"/>
  <c r="K12" i="6"/>
  <c r="I12" i="6"/>
  <c r="G12" i="6"/>
  <c r="F12" i="6"/>
  <c r="E12" i="6"/>
  <c r="D12" i="6"/>
  <c r="C12" i="6"/>
  <c r="K11" i="6"/>
  <c r="I11" i="6"/>
  <c r="G11" i="6"/>
  <c r="L11" i="6" s="1"/>
  <c r="F11" i="6"/>
  <c r="E11" i="6"/>
  <c r="D11" i="6"/>
  <c r="C11" i="6"/>
  <c r="L10" i="6"/>
  <c r="K10" i="6"/>
  <c r="I10" i="6"/>
  <c r="G10" i="6"/>
  <c r="F10" i="6"/>
  <c r="E10" i="6"/>
  <c r="D10" i="6"/>
  <c r="C10" i="6"/>
  <c r="K9" i="6"/>
  <c r="K44" i="6" s="1"/>
  <c r="I9" i="6"/>
  <c r="I44" i="6" s="1"/>
  <c r="G9" i="6"/>
  <c r="F9" i="6"/>
  <c r="E9" i="6"/>
  <c r="D9" i="6"/>
  <c r="C9" i="6"/>
  <c r="B3" i="6"/>
  <c r="H6" i="6" s="1"/>
  <c r="J44" i="4"/>
  <c r="I44" i="4"/>
  <c r="H44" i="4"/>
  <c r="G44" i="4"/>
  <c r="F44" i="4"/>
  <c r="B3" i="4"/>
  <c r="D40" i="4" s="1"/>
  <c r="G2" i="4"/>
  <c r="J44" i="3"/>
  <c r="I44" i="3"/>
  <c r="H44" i="3"/>
  <c r="G44" i="3"/>
  <c r="F44" i="3"/>
  <c r="D43" i="3"/>
  <c r="D42" i="3"/>
  <c r="D35" i="3"/>
  <c r="D34" i="3"/>
  <c r="D33" i="3"/>
  <c r="D28" i="3"/>
  <c r="D27" i="3"/>
  <c r="D26" i="3"/>
  <c r="D19" i="3"/>
  <c r="D18" i="3"/>
  <c r="D17" i="3"/>
  <c r="D12" i="3"/>
  <c r="D11" i="3"/>
  <c r="D10" i="3"/>
  <c r="B3" i="3"/>
  <c r="D40" i="3" s="1"/>
  <c r="G2" i="3"/>
  <c r="J44" i="1"/>
  <c r="I44" i="1"/>
  <c r="H44" i="1"/>
  <c r="G44" i="1"/>
  <c r="F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17" i="4" l="1"/>
  <c r="D25" i="4"/>
  <c r="D9" i="4"/>
  <c r="D33" i="4"/>
  <c r="D18" i="4"/>
  <c r="D20" i="3"/>
  <c r="D36" i="3"/>
  <c r="D41" i="4"/>
  <c r="D9" i="3"/>
  <c r="D25" i="3"/>
  <c r="D41" i="3"/>
  <c r="D21" i="4"/>
  <c r="C44" i="6"/>
  <c r="D44" i="6"/>
  <c r="E44" i="6"/>
  <c r="F44" i="6"/>
  <c r="G44" i="6"/>
  <c r="C63" i="12"/>
  <c r="C59" i="12"/>
  <c r="C51" i="12"/>
  <c r="C71" i="12"/>
  <c r="C55" i="12"/>
  <c r="E56" i="12"/>
  <c r="F65" i="12"/>
  <c r="C61" i="12"/>
  <c r="F61" i="12" s="1"/>
  <c r="E54" i="12"/>
  <c r="C57" i="12"/>
  <c r="E52" i="12"/>
  <c r="C53" i="12"/>
  <c r="C69" i="12"/>
  <c r="D51" i="12"/>
  <c r="D53" i="12"/>
  <c r="D55" i="12"/>
  <c r="D57" i="12"/>
  <c r="D59" i="12"/>
  <c r="D61" i="12"/>
  <c r="D63" i="12"/>
  <c r="D65" i="12"/>
  <c r="D67" i="12"/>
  <c r="F67" i="12" s="1"/>
  <c r="D69" i="12"/>
  <c r="D71" i="12"/>
  <c r="E51" i="12"/>
  <c r="E53" i="12"/>
  <c r="E55" i="12"/>
  <c r="E57" i="12"/>
  <c r="E59" i="12"/>
  <c r="E61" i="12"/>
  <c r="E63" i="12"/>
  <c r="E65" i="12"/>
  <c r="E67" i="12"/>
  <c r="E69" i="12"/>
  <c r="E71" i="12"/>
  <c r="I6" i="12" a="1"/>
  <c r="I6" i="12" s="1"/>
  <c r="C52" i="12"/>
  <c r="C54" i="12"/>
  <c r="F54" i="12" s="1"/>
  <c r="C56" i="12"/>
  <c r="F56" i="12" s="1"/>
  <c r="C58" i="12"/>
  <c r="C60" i="12"/>
  <c r="C62" i="12"/>
  <c r="C64" i="12"/>
  <c r="C66" i="12"/>
  <c r="C68" i="12"/>
  <c r="C70" i="12"/>
  <c r="F70" i="12" s="1"/>
  <c r="C72" i="12"/>
  <c r="F72" i="12" s="1"/>
  <c r="F75" i="12"/>
  <c r="F33" i="12"/>
  <c r="D52" i="12"/>
  <c r="D54" i="12"/>
  <c r="D56" i="12"/>
  <c r="D58" i="12"/>
  <c r="D60" i="12"/>
  <c r="D62" i="12"/>
  <c r="D64" i="12"/>
  <c r="D66" i="12"/>
  <c r="D68" i="12"/>
  <c r="D70" i="12"/>
  <c r="D72" i="12"/>
  <c r="E58" i="12"/>
  <c r="E60" i="12"/>
  <c r="E62" i="12"/>
  <c r="E64" i="12"/>
  <c r="E66" i="12"/>
  <c r="E68" i="12"/>
  <c r="E70" i="12"/>
  <c r="L22" i="11"/>
  <c r="N25" i="11"/>
  <c r="M25" i="11"/>
  <c r="N41" i="11"/>
  <c r="M41" i="11"/>
  <c r="N19" i="11"/>
  <c r="M19" i="11"/>
  <c r="N15" i="11"/>
  <c r="M15" i="11"/>
  <c r="L28" i="11"/>
  <c r="N31" i="11"/>
  <c r="M31" i="11"/>
  <c r="M21" i="11"/>
  <c r="N21" i="11"/>
  <c r="L34" i="11"/>
  <c r="N37" i="11"/>
  <c r="M37" i="11"/>
  <c r="N35" i="11"/>
  <c r="M35" i="11"/>
  <c r="N11" i="11"/>
  <c r="M11" i="11"/>
  <c r="N27" i="11"/>
  <c r="M27" i="11"/>
  <c r="N43" i="11"/>
  <c r="M43" i="11"/>
  <c r="M17" i="11"/>
  <c r="N17" i="11"/>
  <c r="N33" i="11"/>
  <c r="M33" i="11"/>
  <c r="N23" i="11"/>
  <c r="M23" i="11"/>
  <c r="N39" i="11"/>
  <c r="M39" i="11"/>
  <c r="L10" i="11"/>
  <c r="M13" i="11"/>
  <c r="N13" i="11"/>
  <c r="N29" i="11"/>
  <c r="M29" i="11"/>
  <c r="L42" i="11"/>
  <c r="K9" i="11"/>
  <c r="K11" i="11"/>
  <c r="K13" i="11"/>
  <c r="K15" i="11"/>
  <c r="K17" i="11"/>
  <c r="K19" i="11"/>
  <c r="K21" i="11"/>
  <c r="K23" i="11"/>
  <c r="K25" i="11"/>
  <c r="K27" i="11"/>
  <c r="K29" i="11"/>
  <c r="K31" i="11"/>
  <c r="K33" i="11"/>
  <c r="K35" i="11"/>
  <c r="K37" i="11"/>
  <c r="K39" i="11"/>
  <c r="K41" i="11"/>
  <c r="K43" i="11"/>
  <c r="L9" i="11"/>
  <c r="I10" i="11"/>
  <c r="I12" i="11"/>
  <c r="I44" i="11" s="1"/>
  <c r="I14" i="11"/>
  <c r="L14" i="11" s="1"/>
  <c r="I16" i="11"/>
  <c r="L16" i="11" s="1"/>
  <c r="I18" i="11"/>
  <c r="L18" i="11" s="1"/>
  <c r="I20" i="11"/>
  <c r="L20" i="11" s="1"/>
  <c r="I22" i="11"/>
  <c r="I24" i="11"/>
  <c r="L24" i="11" s="1"/>
  <c r="I26" i="11"/>
  <c r="L26" i="11" s="1"/>
  <c r="I28" i="11"/>
  <c r="I30" i="11"/>
  <c r="L30" i="11" s="1"/>
  <c r="I32" i="11"/>
  <c r="L32" i="11" s="1"/>
  <c r="I34" i="11"/>
  <c r="I36" i="11"/>
  <c r="L36" i="11" s="1"/>
  <c r="I38" i="11"/>
  <c r="L38" i="11" s="1"/>
  <c r="I40" i="11"/>
  <c r="L40" i="11" s="1"/>
  <c r="I42" i="11"/>
  <c r="K10" i="11"/>
  <c r="K12" i="11"/>
  <c r="K14" i="11"/>
  <c r="K16" i="11"/>
  <c r="K18" i="11"/>
  <c r="K20" i="11"/>
  <c r="K22" i="11"/>
  <c r="K24" i="11"/>
  <c r="K26" i="11"/>
  <c r="K28" i="11"/>
  <c r="K30" i="11"/>
  <c r="K32" i="11"/>
  <c r="K34" i="11"/>
  <c r="K36" i="11"/>
  <c r="K38" i="11"/>
  <c r="K40" i="11"/>
  <c r="I55" i="10"/>
  <c r="G60" i="10"/>
  <c r="F57" i="10"/>
  <c r="N54" i="10"/>
  <c r="H52" i="10"/>
  <c r="G57" i="10"/>
  <c r="E54" i="10"/>
  <c r="F54" i="10"/>
  <c r="F8" i="10"/>
  <c r="L56" i="10" s="1"/>
  <c r="J58" i="10"/>
  <c r="I63" i="10"/>
  <c r="G52" i="10"/>
  <c r="M54" i="10"/>
  <c r="L51" i="10"/>
  <c r="N57" i="10"/>
  <c r="L20" i="9"/>
  <c r="L28" i="9"/>
  <c r="N10" i="9"/>
  <c r="M10" i="9"/>
  <c r="I13" i="9"/>
  <c r="I15" i="9"/>
  <c r="I17" i="9"/>
  <c r="L17" i="9" s="1"/>
  <c r="I19" i="9"/>
  <c r="L19" i="9" s="1"/>
  <c r="I21" i="9"/>
  <c r="I23" i="9"/>
  <c r="I25" i="9"/>
  <c r="I27" i="9"/>
  <c r="I29" i="9"/>
  <c r="I31" i="9"/>
  <c r="I33" i="9"/>
  <c r="L33" i="9" s="1"/>
  <c r="I35" i="9"/>
  <c r="L35" i="9" s="1"/>
  <c r="I37" i="9"/>
  <c r="I39" i="9"/>
  <c r="I41" i="9"/>
  <c r="I43" i="9"/>
  <c r="K9" i="9"/>
  <c r="K11" i="9"/>
  <c r="L11" i="9" s="1"/>
  <c r="K13" i="9"/>
  <c r="K15" i="9"/>
  <c r="K17" i="9"/>
  <c r="K19" i="9"/>
  <c r="K21" i="9"/>
  <c r="K23" i="9"/>
  <c r="K25" i="9"/>
  <c r="K27" i="9"/>
  <c r="K29" i="9"/>
  <c r="K31" i="9"/>
  <c r="K33" i="9"/>
  <c r="K35" i="9"/>
  <c r="K37" i="9"/>
  <c r="K39" i="9"/>
  <c r="K41" i="9"/>
  <c r="K43" i="9"/>
  <c r="I12" i="9"/>
  <c r="I44" i="9" s="1"/>
  <c r="I14" i="9"/>
  <c r="L14" i="9" s="1"/>
  <c r="I16" i="9"/>
  <c r="L16" i="9" s="1"/>
  <c r="I18" i="9"/>
  <c r="L18" i="9" s="1"/>
  <c r="I20" i="9"/>
  <c r="I22" i="9"/>
  <c r="L22" i="9" s="1"/>
  <c r="I24" i="9"/>
  <c r="L24" i="9" s="1"/>
  <c r="I26" i="9"/>
  <c r="L26" i="9" s="1"/>
  <c r="I28" i="9"/>
  <c r="I30" i="9"/>
  <c r="L30" i="9" s="1"/>
  <c r="I32" i="9"/>
  <c r="L32" i="9" s="1"/>
  <c r="I34" i="9"/>
  <c r="L34" i="9" s="1"/>
  <c r="I36" i="9"/>
  <c r="L36" i="9" s="1"/>
  <c r="I38" i="9"/>
  <c r="L38" i="9" s="1"/>
  <c r="I40" i="9"/>
  <c r="L40" i="9" s="1"/>
  <c r="I42" i="9"/>
  <c r="L42" i="9" s="1"/>
  <c r="K12" i="9"/>
  <c r="K16" i="9"/>
  <c r="K18" i="9"/>
  <c r="K20" i="9"/>
  <c r="K22" i="9"/>
  <c r="K24" i="9"/>
  <c r="K26" i="9"/>
  <c r="K28" i="9"/>
  <c r="K30" i="9"/>
  <c r="K32" i="9"/>
  <c r="K34" i="9"/>
  <c r="K36" i="9"/>
  <c r="K38" i="9"/>
  <c r="K40" i="9"/>
  <c r="K42" i="9"/>
  <c r="K44" i="7"/>
  <c r="M31" i="7"/>
  <c r="M19" i="7"/>
  <c r="M41" i="7"/>
  <c r="M27" i="7"/>
  <c r="G44" i="7"/>
  <c r="I12" i="7"/>
  <c r="M12" i="7" s="1"/>
  <c r="I16" i="7"/>
  <c r="M16" i="7" s="1"/>
  <c r="I20" i="7"/>
  <c r="M20" i="7" s="1"/>
  <c r="I24" i="7"/>
  <c r="M24" i="7" s="1"/>
  <c r="I28" i="7"/>
  <c r="M28" i="7" s="1"/>
  <c r="I32" i="7"/>
  <c r="M32" i="7" s="1"/>
  <c r="I36" i="7"/>
  <c r="M36" i="7" s="1"/>
  <c r="I40" i="7"/>
  <c r="K20" i="7"/>
  <c r="K24" i="7"/>
  <c r="K28" i="7"/>
  <c r="K32" i="7"/>
  <c r="K36" i="7"/>
  <c r="K40" i="7"/>
  <c r="M40" i="7" s="1"/>
  <c r="I11" i="7"/>
  <c r="M11" i="7" s="1"/>
  <c r="I15" i="7"/>
  <c r="M15" i="7" s="1"/>
  <c r="I19" i="7"/>
  <c r="I23" i="7"/>
  <c r="M23" i="7" s="1"/>
  <c r="I27" i="7"/>
  <c r="I31" i="7"/>
  <c r="I35" i="7"/>
  <c r="M35" i="7" s="1"/>
  <c r="I39" i="7"/>
  <c r="M39" i="7" s="1"/>
  <c r="I43" i="7"/>
  <c r="M43" i="7" s="1"/>
  <c r="K15" i="7"/>
  <c r="K19" i="7"/>
  <c r="K23" i="7"/>
  <c r="K27" i="7"/>
  <c r="K31" i="7"/>
  <c r="K35" i="7"/>
  <c r="K39" i="7"/>
  <c r="K43" i="7"/>
  <c r="I10" i="7"/>
  <c r="M10" i="7" s="1"/>
  <c r="I14" i="7"/>
  <c r="M14" i="7" s="1"/>
  <c r="I18" i="7"/>
  <c r="M18" i="7" s="1"/>
  <c r="I22" i="7"/>
  <c r="M22" i="7" s="1"/>
  <c r="I26" i="7"/>
  <c r="M26" i="7" s="1"/>
  <c r="I30" i="7"/>
  <c r="M30" i="7" s="1"/>
  <c r="I34" i="7"/>
  <c r="M34" i="7" s="1"/>
  <c r="I38" i="7"/>
  <c r="M38" i="7" s="1"/>
  <c r="I42" i="7"/>
  <c r="K18" i="7"/>
  <c r="K22" i="7"/>
  <c r="K26" i="7"/>
  <c r="K30" i="7"/>
  <c r="K34" i="7"/>
  <c r="K38" i="7"/>
  <c r="K42" i="7"/>
  <c r="I9" i="7"/>
  <c r="I13" i="7"/>
  <c r="M13" i="7" s="1"/>
  <c r="I17" i="7"/>
  <c r="M17" i="7" s="1"/>
  <c r="I21" i="7"/>
  <c r="M21" i="7" s="1"/>
  <c r="I25" i="7"/>
  <c r="M25" i="7" s="1"/>
  <c r="I29" i="7"/>
  <c r="M29" i="7" s="1"/>
  <c r="I33" i="7"/>
  <c r="M33" i="7" s="1"/>
  <c r="I37" i="7"/>
  <c r="M37" i="7" s="1"/>
  <c r="M15" i="6"/>
  <c r="N15" i="6"/>
  <c r="N31" i="6"/>
  <c r="M31" i="6"/>
  <c r="N13" i="6"/>
  <c r="M13" i="6"/>
  <c r="N29" i="6"/>
  <c r="M29" i="6"/>
  <c r="M17" i="6"/>
  <c r="N17" i="6"/>
  <c r="N27" i="6"/>
  <c r="M27" i="6"/>
  <c r="N25" i="6"/>
  <c r="M25" i="6"/>
  <c r="N41" i="6"/>
  <c r="M41" i="6"/>
  <c r="N43" i="6"/>
  <c r="M43" i="6"/>
  <c r="M23" i="6"/>
  <c r="N23" i="6"/>
  <c r="N39" i="6"/>
  <c r="M39" i="6"/>
  <c r="N33" i="6"/>
  <c r="M33" i="6"/>
  <c r="N11" i="6"/>
  <c r="M11" i="6"/>
  <c r="N21" i="6"/>
  <c r="M21" i="6"/>
  <c r="N37" i="6"/>
  <c r="M37" i="6"/>
  <c r="N19" i="6"/>
  <c r="M19" i="6"/>
  <c r="N35" i="6"/>
  <c r="M35" i="6"/>
  <c r="M18" i="6"/>
  <c r="M22" i="6"/>
  <c r="N10" i="6"/>
  <c r="N12" i="6"/>
  <c r="N14" i="6"/>
  <c r="N16" i="6"/>
  <c r="N18" i="6"/>
  <c r="N20" i="6"/>
  <c r="N22" i="6"/>
  <c r="N24" i="6"/>
  <c r="N26" i="6"/>
  <c r="N28" i="6"/>
  <c r="N30" i="6"/>
  <c r="N32" i="6"/>
  <c r="N34" i="6"/>
  <c r="N36" i="6"/>
  <c r="N38" i="6"/>
  <c r="N40" i="6"/>
  <c r="N42" i="6"/>
  <c r="M10" i="6"/>
  <c r="M14" i="6"/>
  <c r="M12" i="6"/>
  <c r="L9" i="6"/>
  <c r="D26" i="4"/>
  <c r="D11" i="4"/>
  <c r="D19" i="4"/>
  <c r="D27" i="4"/>
  <c r="D35" i="4"/>
  <c r="D43" i="4"/>
  <c r="D34" i="4"/>
  <c r="D12" i="4"/>
  <c r="D20" i="4"/>
  <c r="D28" i="4"/>
  <c r="D36" i="4"/>
  <c r="D10" i="4"/>
  <c r="D13" i="4"/>
  <c r="D37" i="4"/>
  <c r="D29" i="4"/>
  <c r="D14" i="4"/>
  <c r="D22" i="4"/>
  <c r="D30" i="4"/>
  <c r="D38" i="4"/>
  <c r="D15" i="4"/>
  <c r="D23" i="4"/>
  <c r="D31" i="4"/>
  <c r="D39" i="4"/>
  <c r="D42" i="4"/>
  <c r="D8" i="4"/>
  <c r="D16" i="4"/>
  <c r="D24" i="4"/>
  <c r="D32" i="4"/>
  <c r="D13" i="3"/>
  <c r="D21" i="3"/>
  <c r="D29" i="3"/>
  <c r="D37" i="3"/>
  <c r="D14" i="3"/>
  <c r="D22" i="3"/>
  <c r="D30" i="3"/>
  <c r="D38" i="3"/>
  <c r="D15" i="3"/>
  <c r="D23" i="3"/>
  <c r="D31" i="3"/>
  <c r="D39" i="3"/>
  <c r="D8" i="3"/>
  <c r="D16" i="3"/>
  <c r="D24" i="3"/>
  <c r="D32" i="3"/>
  <c r="D73" i="12" l="1"/>
  <c r="F68" i="12"/>
  <c r="F52" i="12"/>
  <c r="F69" i="12"/>
  <c r="F66" i="12"/>
  <c r="F53" i="12"/>
  <c r="F55" i="12"/>
  <c r="F64" i="12"/>
  <c r="F71" i="12"/>
  <c r="F62" i="12"/>
  <c r="C73" i="12"/>
  <c r="F51" i="12"/>
  <c r="F60" i="12"/>
  <c r="E73" i="12"/>
  <c r="F57" i="12"/>
  <c r="F59" i="12"/>
  <c r="F58" i="12"/>
  <c r="F63" i="12"/>
  <c r="M18" i="11"/>
  <c r="N18" i="11"/>
  <c r="M16" i="11"/>
  <c r="N16" i="11"/>
  <c r="M20" i="11"/>
  <c r="N20" i="11"/>
  <c r="M32" i="11"/>
  <c r="N32" i="11"/>
  <c r="M30" i="11"/>
  <c r="N30" i="11"/>
  <c r="M14" i="11"/>
  <c r="N14" i="11"/>
  <c r="M36" i="11"/>
  <c r="N36" i="11"/>
  <c r="M26" i="11"/>
  <c r="N26" i="11"/>
  <c r="M40" i="11"/>
  <c r="N40" i="11"/>
  <c r="M24" i="11"/>
  <c r="N24" i="11"/>
  <c r="M38" i="11"/>
  <c r="N38" i="11"/>
  <c r="L12" i="11"/>
  <c r="L44" i="11" s="1"/>
  <c r="M9" i="11"/>
  <c r="N9" i="11"/>
  <c r="K44" i="11"/>
  <c r="M42" i="11"/>
  <c r="N42" i="11"/>
  <c r="M10" i="11"/>
  <c r="N10" i="11"/>
  <c r="M28" i="11"/>
  <c r="N28" i="11"/>
  <c r="M34" i="11"/>
  <c r="N34" i="11"/>
  <c r="M22" i="11"/>
  <c r="N22" i="11"/>
  <c r="E59" i="10"/>
  <c r="M59" i="10"/>
  <c r="I58" i="10"/>
  <c r="H63" i="10"/>
  <c r="G63" i="10"/>
  <c r="L62" i="10"/>
  <c r="D62" i="10"/>
  <c r="I61" i="10"/>
  <c r="N60" i="10"/>
  <c r="F60" i="10"/>
  <c r="K59" i="10"/>
  <c r="C59" i="10"/>
  <c r="H58" i="10"/>
  <c r="M57" i="10"/>
  <c r="E57" i="10"/>
  <c r="J56" i="10"/>
  <c r="G55" i="10"/>
  <c r="L54" i="10"/>
  <c r="D54" i="10"/>
  <c r="I53" i="10"/>
  <c r="N52" i="10"/>
  <c r="F52" i="10"/>
  <c r="K51" i="10"/>
  <c r="C51" i="10"/>
  <c r="I6" i="10" a="1"/>
  <c r="I6" i="10" s="1"/>
  <c r="H55" i="10"/>
  <c r="N63" i="10"/>
  <c r="F63" i="10"/>
  <c r="K62" i="10"/>
  <c r="C62" i="10"/>
  <c r="H61" i="10"/>
  <c r="M60" i="10"/>
  <c r="E60" i="10"/>
  <c r="J59" i="10"/>
  <c r="G58" i="10"/>
  <c r="L57" i="10"/>
  <c r="D57" i="10"/>
  <c r="I56" i="10"/>
  <c r="N55" i="10"/>
  <c r="F55" i="10"/>
  <c r="K54" i="10"/>
  <c r="C54" i="10"/>
  <c r="H53" i="10"/>
  <c r="M52" i="10"/>
  <c r="E52" i="10"/>
  <c r="J51" i="10"/>
  <c r="F62" i="10"/>
  <c r="C56" i="10"/>
  <c r="O66" i="10"/>
  <c r="M63" i="10"/>
  <c r="E63" i="10"/>
  <c r="J62" i="10"/>
  <c r="G61" i="10"/>
  <c r="L60" i="10"/>
  <c r="D60" i="10"/>
  <c r="I59" i="10"/>
  <c r="N58" i="10"/>
  <c r="F58" i="10"/>
  <c r="K57" i="10"/>
  <c r="C57" i="10"/>
  <c r="H56" i="10"/>
  <c r="M55" i="10"/>
  <c r="E55" i="10"/>
  <c r="J54" i="10"/>
  <c r="G53" i="10"/>
  <c r="L52" i="10"/>
  <c r="L64" i="10" s="1"/>
  <c r="D52" i="10"/>
  <c r="I51" i="10"/>
  <c r="H60" i="10"/>
  <c r="C53" i="10"/>
  <c r="L63" i="10"/>
  <c r="D63" i="10"/>
  <c r="I62" i="10"/>
  <c r="N61" i="10"/>
  <c r="F61" i="10"/>
  <c r="K60" i="10"/>
  <c r="C60" i="10"/>
  <c r="O60" i="10" s="1"/>
  <c r="H59" i="10"/>
  <c r="M58" i="10"/>
  <c r="E58" i="10"/>
  <c r="J57" i="10"/>
  <c r="G56" i="10"/>
  <c r="L55" i="10"/>
  <c r="D55" i="10"/>
  <c r="I54" i="10"/>
  <c r="N53" i="10"/>
  <c r="F53" i="10"/>
  <c r="K52" i="10"/>
  <c r="C52" i="10"/>
  <c r="H51" i="10"/>
  <c r="F33" i="10"/>
  <c r="M51" i="10"/>
  <c r="J53" i="10"/>
  <c r="K63" i="10"/>
  <c r="C63" i="10"/>
  <c r="H62" i="10"/>
  <c r="M61" i="10"/>
  <c r="E61" i="10"/>
  <c r="J60" i="10"/>
  <c r="G59" i="10"/>
  <c r="L58" i="10"/>
  <c r="D58" i="10"/>
  <c r="I57" i="10"/>
  <c r="N56" i="10"/>
  <c r="F56" i="10"/>
  <c r="K55" i="10"/>
  <c r="C55" i="10"/>
  <c r="H54" i="10"/>
  <c r="M53" i="10"/>
  <c r="E53" i="10"/>
  <c r="J52" i="10"/>
  <c r="G51" i="10"/>
  <c r="N62" i="10"/>
  <c r="M62" i="10"/>
  <c r="J63" i="10"/>
  <c r="G62" i="10"/>
  <c r="L61" i="10"/>
  <c r="D61" i="10"/>
  <c r="I60" i="10"/>
  <c r="N59" i="10"/>
  <c r="F59" i="10"/>
  <c r="K58" i="10"/>
  <c r="C58" i="10"/>
  <c r="H57" i="10"/>
  <c r="M56" i="10"/>
  <c r="E56" i="10"/>
  <c r="J55" i="10"/>
  <c r="G54" i="10"/>
  <c r="L53" i="10"/>
  <c r="D53" i="10"/>
  <c r="I52" i="10"/>
  <c r="N51" i="10"/>
  <c r="F51" i="10"/>
  <c r="F64" i="10" s="1"/>
  <c r="C61" i="10"/>
  <c r="D56" i="10"/>
  <c r="J61" i="10"/>
  <c r="D51" i="10"/>
  <c r="K61" i="10"/>
  <c r="K53" i="10"/>
  <c r="K56" i="10"/>
  <c r="D59" i="10"/>
  <c r="E62" i="10"/>
  <c r="L59" i="10"/>
  <c r="E51" i="10"/>
  <c r="M40" i="9"/>
  <c r="N40" i="9"/>
  <c r="M24" i="9"/>
  <c r="N24" i="9"/>
  <c r="M38" i="9"/>
  <c r="N38" i="9"/>
  <c r="N22" i="9"/>
  <c r="M22" i="9"/>
  <c r="M42" i="9"/>
  <c r="N42" i="9"/>
  <c r="M36" i="9"/>
  <c r="N36" i="9"/>
  <c r="M14" i="9"/>
  <c r="N14" i="9"/>
  <c r="M34" i="9"/>
  <c r="N34" i="9"/>
  <c r="N18" i="9"/>
  <c r="M18" i="9"/>
  <c r="M30" i="9"/>
  <c r="N30" i="9"/>
  <c r="M26" i="9"/>
  <c r="N26" i="9"/>
  <c r="M32" i="9"/>
  <c r="N32" i="9"/>
  <c r="M16" i="9"/>
  <c r="N16" i="9"/>
  <c r="M17" i="9"/>
  <c r="N17" i="9"/>
  <c r="M20" i="9"/>
  <c r="N20" i="9"/>
  <c r="M19" i="9"/>
  <c r="N19" i="9"/>
  <c r="M11" i="9"/>
  <c r="N11" i="9"/>
  <c r="K44" i="9"/>
  <c r="L9" i="9"/>
  <c r="L29" i="9"/>
  <c r="L13" i="9"/>
  <c r="N35" i="9"/>
  <c r="M35" i="9"/>
  <c r="N33" i="9"/>
  <c r="M33" i="9"/>
  <c r="L12" i="9"/>
  <c r="L43" i="9"/>
  <c r="L27" i="9"/>
  <c r="M28" i="9"/>
  <c r="N28" i="9"/>
  <c r="L41" i="9"/>
  <c r="L25" i="9"/>
  <c r="L15" i="9"/>
  <c r="L39" i="9"/>
  <c r="L23" i="9"/>
  <c r="L31" i="9"/>
  <c r="L37" i="9"/>
  <c r="L21" i="9"/>
  <c r="G74" i="8" a="1"/>
  <c r="O16" i="7"/>
  <c r="N16" i="7"/>
  <c r="O36" i="7"/>
  <c r="N36" i="7"/>
  <c r="O32" i="7"/>
  <c r="N32" i="7"/>
  <c r="N23" i="7"/>
  <c r="O23" i="7"/>
  <c r="O33" i="7"/>
  <c r="N33" i="7"/>
  <c r="O28" i="7"/>
  <c r="N28" i="7"/>
  <c r="O12" i="7"/>
  <c r="N12" i="7"/>
  <c r="N43" i="7"/>
  <c r="O43" i="7"/>
  <c r="O40" i="7"/>
  <c r="N40" i="7"/>
  <c r="N35" i="7"/>
  <c r="O35" i="7"/>
  <c r="O25" i="7"/>
  <c r="N25" i="7"/>
  <c r="O24" i="7"/>
  <c r="N24" i="7"/>
  <c r="N15" i="7"/>
  <c r="O15" i="7"/>
  <c r="N11" i="7"/>
  <c r="O11" i="7"/>
  <c r="N39" i="7"/>
  <c r="O39" i="7"/>
  <c r="O29" i="7"/>
  <c r="N29" i="7"/>
  <c r="O21" i="7"/>
  <c r="N21" i="7"/>
  <c r="O20" i="7"/>
  <c r="N20" i="7"/>
  <c r="O38" i="7"/>
  <c r="N38" i="7"/>
  <c r="N27" i="7"/>
  <c r="O27" i="7"/>
  <c r="N31" i="7"/>
  <c r="O31" i="7"/>
  <c r="O41" i="7"/>
  <c r="N41" i="7"/>
  <c r="O30" i="7"/>
  <c r="N30" i="7"/>
  <c r="O22" i="7"/>
  <c r="N22" i="7"/>
  <c r="O37" i="7"/>
  <c r="N37" i="7"/>
  <c r="O34" i="7"/>
  <c r="N34" i="7"/>
  <c r="O17" i="7"/>
  <c r="N17" i="7"/>
  <c r="O18" i="7"/>
  <c r="N18" i="7"/>
  <c r="O13" i="7"/>
  <c r="N13" i="7"/>
  <c r="O14" i="7"/>
  <c r="N14" i="7"/>
  <c r="N19" i="7"/>
  <c r="O19" i="7"/>
  <c r="O26" i="7"/>
  <c r="N26" i="7"/>
  <c r="I44" i="7"/>
  <c r="M42" i="7"/>
  <c r="O10" i="7"/>
  <c r="N10" i="7"/>
  <c r="M9" i="7"/>
  <c r="M9" i="6"/>
  <c r="M44" i="6" s="1"/>
  <c r="N9" i="6"/>
  <c r="N44" i="6" s="1"/>
  <c r="N47" i="6" s="1"/>
  <c r="L44" i="6"/>
  <c r="F73" i="12" l="1"/>
  <c r="N12" i="11"/>
  <c r="N44" i="11" s="1"/>
  <c r="N47" i="11" s="1"/>
  <c r="M12" i="11"/>
  <c r="M44" i="11" s="1"/>
  <c r="O63" i="10"/>
  <c r="K64" i="10"/>
  <c r="O61" i="10"/>
  <c r="O53" i="10"/>
  <c r="J64" i="10"/>
  <c r="O62" i="10"/>
  <c r="N64" i="10"/>
  <c r="M64" i="10"/>
  <c r="I64" i="10"/>
  <c r="O57" i="10"/>
  <c r="O59" i="10"/>
  <c r="O58" i="10"/>
  <c r="O55" i="10"/>
  <c r="H64" i="10"/>
  <c r="O54" i="10"/>
  <c r="D64" i="10"/>
  <c r="O52" i="10"/>
  <c r="E64" i="10"/>
  <c r="G64" i="10"/>
  <c r="O56" i="10"/>
  <c r="C64" i="10"/>
  <c r="O51" i="10"/>
  <c r="N23" i="9"/>
  <c r="M23" i="9"/>
  <c r="N13" i="9"/>
  <c r="M13" i="9"/>
  <c r="N25" i="9"/>
  <c r="M25" i="9"/>
  <c r="N9" i="9"/>
  <c r="M9" i="9"/>
  <c r="L44" i="9"/>
  <c r="M15" i="9"/>
  <c r="N15" i="9"/>
  <c r="N29" i="9"/>
  <c r="M29" i="9"/>
  <c r="M21" i="9"/>
  <c r="N21" i="9"/>
  <c r="N27" i="9"/>
  <c r="M27" i="9"/>
  <c r="N39" i="9"/>
  <c r="M39" i="9"/>
  <c r="M12" i="9"/>
  <c r="N12" i="9"/>
  <c r="N41" i="9"/>
  <c r="M41" i="9"/>
  <c r="N37" i="9"/>
  <c r="M37" i="9"/>
  <c r="N43" i="9"/>
  <c r="M43" i="9"/>
  <c r="N31" i="9"/>
  <c r="M31" i="9"/>
  <c r="M44" i="7"/>
  <c r="O9" i="7"/>
  <c r="N9" i="7"/>
  <c r="O42" i="7"/>
  <c r="N42" i="7"/>
  <c r="N48" i="6"/>
  <c r="N49" i="6" s="1"/>
  <c r="O43" i="6" s="1"/>
  <c r="O37" i="6"/>
  <c r="O33" i="6"/>
  <c r="O21" i="6"/>
  <c r="O38" i="6"/>
  <c r="O36" i="6"/>
  <c r="O34" i="6"/>
  <c r="O20" i="6"/>
  <c r="O18" i="6"/>
  <c r="O16" i="6"/>
  <c r="O26" i="6" l="1"/>
  <c r="O11" i="6"/>
  <c r="O22" i="6"/>
  <c r="P22" i="6" s="1"/>
  <c r="O10" i="6"/>
  <c r="O28" i="6"/>
  <c r="L28" i="7" s="1"/>
  <c r="C27" i="8" s="1"/>
  <c r="H20" i="8" s="1"/>
  <c r="O13" i="6"/>
  <c r="P13" i="6" s="1"/>
  <c r="O9" i="6"/>
  <c r="L9" i="7" s="1"/>
  <c r="O30" i="6"/>
  <c r="P30" i="6" s="1"/>
  <c r="O15" i="6"/>
  <c r="O12" i="6"/>
  <c r="O14" i="6"/>
  <c r="O32" i="6"/>
  <c r="P32" i="6" s="1"/>
  <c r="O17" i="6"/>
  <c r="P11" i="6"/>
  <c r="L11" i="7"/>
  <c r="C10" i="8" s="1"/>
  <c r="H10" i="8" s="1"/>
  <c r="P16" i="6"/>
  <c r="L16" i="7"/>
  <c r="C15" i="8" s="1"/>
  <c r="L32" i="7"/>
  <c r="C31" i="8" s="1"/>
  <c r="H24" i="8" s="1"/>
  <c r="P43" i="6"/>
  <c r="L43" i="7"/>
  <c r="C42" i="8" s="1"/>
  <c r="H32" i="8" s="1"/>
  <c r="P28" i="6"/>
  <c r="P33" i="6"/>
  <c r="L33" i="7"/>
  <c r="C32" i="8" s="1"/>
  <c r="H25" i="8" s="1"/>
  <c r="P15" i="6"/>
  <c r="L15" i="7"/>
  <c r="C14" i="8" s="1"/>
  <c r="P20" i="6"/>
  <c r="L20" i="7"/>
  <c r="C19" i="8" s="1"/>
  <c r="L22" i="7"/>
  <c r="C21" i="8" s="1"/>
  <c r="H14" i="8" s="1"/>
  <c r="P21" i="6"/>
  <c r="L21" i="7"/>
  <c r="C20" i="8" s="1"/>
  <c r="C8" i="8"/>
  <c r="H8" i="8" s="1"/>
  <c r="P34" i="6"/>
  <c r="L34" i="7"/>
  <c r="C33" i="8" s="1"/>
  <c r="H26" i="8" s="1"/>
  <c r="P36" i="6"/>
  <c r="L36" i="7"/>
  <c r="C35" i="8" s="1"/>
  <c r="H28" i="8" s="1"/>
  <c r="P17" i="6"/>
  <c r="L17" i="7"/>
  <c r="C16" i="8" s="1"/>
  <c r="P38" i="6"/>
  <c r="L38" i="7"/>
  <c r="C37" i="8" s="1"/>
  <c r="O24" i="6"/>
  <c r="O40" i="6"/>
  <c r="O29" i="6"/>
  <c r="P12" i="6"/>
  <c r="L12" i="7"/>
  <c r="C11" i="8" s="1"/>
  <c r="P14" i="6"/>
  <c r="L14" i="7"/>
  <c r="C13" i="8" s="1"/>
  <c r="P37" i="6"/>
  <c r="L37" i="7"/>
  <c r="C36" i="8" s="1"/>
  <c r="H29" i="8" s="1"/>
  <c r="P18" i="6"/>
  <c r="L18" i="7"/>
  <c r="C17" i="8" s="1"/>
  <c r="H13" i="8" s="1"/>
  <c r="P10" i="6"/>
  <c r="L10" i="7"/>
  <c r="C9" i="8" s="1"/>
  <c r="H9" i="8" s="1"/>
  <c r="P26" i="6"/>
  <c r="L26" i="7"/>
  <c r="C25" i="8" s="1"/>
  <c r="H18" i="8" s="1"/>
  <c r="O42" i="6"/>
  <c r="O31" i="6"/>
  <c r="F77" i="12"/>
  <c r="F76" i="12"/>
  <c r="N48" i="11"/>
  <c r="N49" i="11" s="1"/>
  <c r="O43" i="11" s="1"/>
  <c r="P43" i="11" s="1"/>
  <c r="O64" i="10"/>
  <c r="M44" i="9"/>
  <c r="N44" i="9"/>
  <c r="N47" i="9" s="1"/>
  <c r="N44" i="7"/>
  <c r="O44" i="7"/>
  <c r="O47" i="7" s="1"/>
  <c r="O19" i="6"/>
  <c r="O35" i="6"/>
  <c r="O23" i="6"/>
  <c r="O39" i="6"/>
  <c r="P9" i="6"/>
  <c r="O25" i="6"/>
  <c r="O41" i="6"/>
  <c r="O27" i="6"/>
  <c r="L30" i="7" l="1"/>
  <c r="C29" i="8" s="1"/>
  <c r="H22" i="8" s="1"/>
  <c r="L13" i="7"/>
  <c r="C12" i="8" s="1"/>
  <c r="P23" i="6"/>
  <c r="L23" i="7"/>
  <c r="C22" i="8" s="1"/>
  <c r="H15" i="8" s="1"/>
  <c r="H11" i="8"/>
  <c r="P35" i="6"/>
  <c r="L35" i="7"/>
  <c r="C34" i="8" s="1"/>
  <c r="H27" i="8" s="1"/>
  <c r="P19" i="6"/>
  <c r="L19" i="7"/>
  <c r="C18" i="8" s="1"/>
  <c r="P29" i="6"/>
  <c r="L29" i="7"/>
  <c r="C28" i="8" s="1"/>
  <c r="H21" i="8" s="1"/>
  <c r="P40" i="6"/>
  <c r="L40" i="7"/>
  <c r="C39" i="8" s="1"/>
  <c r="P41" i="6"/>
  <c r="L41" i="7"/>
  <c r="C40" i="8" s="1"/>
  <c r="H30" i="8" s="1"/>
  <c r="P31" i="6"/>
  <c r="L31" i="7"/>
  <c r="C30" i="8" s="1"/>
  <c r="H23" i="8" s="1"/>
  <c r="P24" i="6"/>
  <c r="L24" i="7"/>
  <c r="C23" i="8" s="1"/>
  <c r="H16" i="8" s="1"/>
  <c r="P39" i="6"/>
  <c r="L39" i="7"/>
  <c r="C38" i="8" s="1"/>
  <c r="H12" i="8" s="1"/>
  <c r="P42" i="6"/>
  <c r="L42" i="7"/>
  <c r="C41" i="8" s="1"/>
  <c r="H31" i="8" s="1"/>
  <c r="P27" i="6"/>
  <c r="L27" i="7"/>
  <c r="C26" i="8" s="1"/>
  <c r="H19" i="8" s="1"/>
  <c r="P25" i="6"/>
  <c r="L25" i="7"/>
  <c r="C24" i="8" s="1"/>
  <c r="H17" i="8" s="1"/>
  <c r="O34" i="11"/>
  <c r="P34" i="11" s="1"/>
  <c r="O17" i="11"/>
  <c r="P17" i="11" s="1"/>
  <c r="O33" i="11"/>
  <c r="P33" i="11" s="1"/>
  <c r="O13" i="11"/>
  <c r="P13" i="11" s="1"/>
  <c r="O15" i="11"/>
  <c r="P15" i="11" s="1"/>
  <c r="O20" i="11"/>
  <c r="P20" i="11" s="1"/>
  <c r="O22" i="11"/>
  <c r="P22" i="11" s="1"/>
  <c r="O38" i="11"/>
  <c r="P38" i="11" s="1"/>
  <c r="O19" i="11"/>
  <c r="P19" i="11" s="1"/>
  <c r="O35" i="11"/>
  <c r="P35" i="11" s="1"/>
  <c r="O32" i="11"/>
  <c r="P32" i="11" s="1"/>
  <c r="O31" i="11"/>
  <c r="P31" i="11" s="1"/>
  <c r="O24" i="11"/>
  <c r="P24" i="11" s="1"/>
  <c r="O40" i="11"/>
  <c r="P40" i="11" s="1"/>
  <c r="O21" i="11"/>
  <c r="P21" i="11" s="1"/>
  <c r="O37" i="11"/>
  <c r="P37" i="11" s="1"/>
  <c r="O16" i="11"/>
  <c r="P16" i="11" s="1"/>
  <c r="O18" i="11"/>
  <c r="P18" i="11" s="1"/>
  <c r="O36" i="11"/>
  <c r="P36" i="11" s="1"/>
  <c r="O10" i="11"/>
  <c r="P10" i="11" s="1"/>
  <c r="O26" i="11"/>
  <c r="P26" i="11" s="1"/>
  <c r="O42" i="11"/>
  <c r="P42" i="11" s="1"/>
  <c r="O23" i="11"/>
  <c r="P23" i="11" s="1"/>
  <c r="O39" i="11"/>
  <c r="P39" i="11" s="1"/>
  <c r="O29" i="11"/>
  <c r="P29" i="11" s="1"/>
  <c r="O12" i="11"/>
  <c r="P12" i="11" s="1"/>
  <c r="O28" i="11"/>
  <c r="P28" i="11" s="1"/>
  <c r="O9" i="11"/>
  <c r="O25" i="11"/>
  <c r="P25" i="11" s="1"/>
  <c r="O41" i="11"/>
  <c r="P41" i="11" s="1"/>
  <c r="O14" i="11"/>
  <c r="P14" i="11" s="1"/>
  <c r="O30" i="11"/>
  <c r="P30" i="11" s="1"/>
  <c r="O11" i="11"/>
  <c r="P11" i="11" s="1"/>
  <c r="O27" i="11"/>
  <c r="P27" i="11" s="1"/>
  <c r="O68" i="10"/>
  <c r="O67" i="10"/>
  <c r="N48" i="9"/>
  <c r="N49" i="9" s="1"/>
  <c r="O13" i="9"/>
  <c r="P13" i="9" s="1"/>
  <c r="O9" i="9"/>
  <c r="O43" i="9"/>
  <c r="P43" i="9" s="1"/>
  <c r="O41" i="9"/>
  <c r="P41" i="9" s="1"/>
  <c r="O39" i="9"/>
  <c r="P39" i="9" s="1"/>
  <c r="O37" i="9"/>
  <c r="P37" i="9" s="1"/>
  <c r="O35" i="9"/>
  <c r="P35" i="9" s="1"/>
  <c r="O33" i="9"/>
  <c r="P33" i="9" s="1"/>
  <c r="O31" i="9"/>
  <c r="P31" i="9" s="1"/>
  <c r="O29" i="9"/>
  <c r="P29" i="9" s="1"/>
  <c r="O27" i="9"/>
  <c r="P27" i="9" s="1"/>
  <c r="O25" i="9"/>
  <c r="P25" i="9" s="1"/>
  <c r="O23" i="9"/>
  <c r="P23" i="9" s="1"/>
  <c r="O21" i="9"/>
  <c r="P21" i="9" s="1"/>
  <c r="O19" i="9"/>
  <c r="P19" i="9" s="1"/>
  <c r="O17" i="9"/>
  <c r="P17" i="9" s="1"/>
  <c r="O15" i="9"/>
  <c r="P15" i="9" s="1"/>
  <c r="O11" i="9"/>
  <c r="P11" i="9" s="1"/>
  <c r="O42" i="9"/>
  <c r="P42" i="9" s="1"/>
  <c r="O40" i="9"/>
  <c r="P40" i="9" s="1"/>
  <c r="O38" i="9"/>
  <c r="P38" i="9" s="1"/>
  <c r="O36" i="9"/>
  <c r="P36" i="9" s="1"/>
  <c r="O34" i="9"/>
  <c r="P34" i="9" s="1"/>
  <c r="O32" i="9"/>
  <c r="P32" i="9" s="1"/>
  <c r="O30" i="9"/>
  <c r="P30" i="9" s="1"/>
  <c r="O28" i="9"/>
  <c r="P28" i="9" s="1"/>
  <c r="O26" i="9"/>
  <c r="P26" i="9" s="1"/>
  <c r="O24" i="9"/>
  <c r="P24" i="9" s="1"/>
  <c r="O22" i="9"/>
  <c r="P22" i="9" s="1"/>
  <c r="O20" i="9"/>
  <c r="P20" i="9" s="1"/>
  <c r="O18" i="9"/>
  <c r="P18" i="9" s="1"/>
  <c r="O16" i="9"/>
  <c r="P16" i="9" s="1"/>
  <c r="O14" i="9"/>
  <c r="P14" i="9" s="1"/>
  <c r="O12" i="9"/>
  <c r="P12" i="9" s="1"/>
  <c r="O10" i="9"/>
  <c r="P10" i="9" s="1"/>
  <c r="P16" i="7"/>
  <c r="Q16" i="7" s="1"/>
  <c r="S16" i="7" s="1"/>
  <c r="P12" i="7"/>
  <c r="Q12" i="7" s="1"/>
  <c r="S12" i="7" s="1"/>
  <c r="O48" i="7"/>
  <c r="O49" i="7" s="1"/>
  <c r="P40" i="7" s="1"/>
  <c r="Q40" i="7" s="1"/>
  <c r="S40" i="7" s="1"/>
  <c r="P21" i="7"/>
  <c r="Q21" i="7" s="1"/>
  <c r="S21" i="7" s="1"/>
  <c r="P17" i="7"/>
  <c r="Q17" i="7" s="1"/>
  <c r="S17" i="7" s="1"/>
  <c r="P13" i="7"/>
  <c r="Q13" i="7" s="1"/>
  <c r="S13" i="7" s="1"/>
  <c r="P26" i="7"/>
  <c r="Q26" i="7" s="1"/>
  <c r="S26" i="7" s="1"/>
  <c r="P22" i="7"/>
  <c r="Q22" i="7" s="1"/>
  <c r="S22" i="7" s="1"/>
  <c r="P18" i="7"/>
  <c r="Q18" i="7" s="1"/>
  <c r="S18" i="7" s="1"/>
  <c r="P31" i="7"/>
  <c r="Q31" i="7" s="1"/>
  <c r="S31" i="7" s="1"/>
  <c r="P27" i="7"/>
  <c r="Q27" i="7" s="1"/>
  <c r="S27" i="7" s="1"/>
  <c r="P23" i="7"/>
  <c r="Q23" i="7" s="1"/>
  <c r="S23" i="7" s="1"/>
  <c r="P11" i="7"/>
  <c r="Q11" i="7" s="1"/>
  <c r="S11" i="7" s="1"/>
  <c r="O44" i="6"/>
  <c r="E67" i="8" l="1" a="1"/>
  <c r="E67" i="8" s="1"/>
  <c r="F57" i="8" a="1"/>
  <c r="F57" i="8" s="1"/>
  <c r="H33" i="8"/>
  <c r="E65" i="8" s="1" a="1"/>
  <c r="E65" i="8" s="1"/>
  <c r="F51" i="8" a="1"/>
  <c r="F51" i="8" s="1"/>
  <c r="E68" i="8" a="1"/>
  <c r="E68" i="8" s="1"/>
  <c r="C64" i="8" a="1"/>
  <c r="C64" i="8" s="1"/>
  <c r="C43" i="8"/>
  <c r="P44" i="6"/>
  <c r="E57" i="8" a="1"/>
  <c r="E57" i="8" s="1"/>
  <c r="C59" i="8" a="1"/>
  <c r="C59" i="8" s="1"/>
  <c r="C51" i="8" a="1"/>
  <c r="C51" i="8" s="1"/>
  <c r="D70" i="8" a="1"/>
  <c r="D70" i="8" s="1"/>
  <c r="E70" i="8" a="1"/>
  <c r="E70" i="8" s="1"/>
  <c r="C70" i="8" a="1"/>
  <c r="C70" i="8" s="1"/>
  <c r="F70" i="8" a="1"/>
  <c r="F70" i="8" s="1"/>
  <c r="C68" i="8" a="1"/>
  <c r="C68" i="8" s="1"/>
  <c r="F59" i="8" a="1"/>
  <c r="F59" i="8" s="1"/>
  <c r="C60" i="8" a="1"/>
  <c r="C60" i="8" s="1"/>
  <c r="F60" i="8" a="1"/>
  <c r="F60" i="8" s="1"/>
  <c r="E60" i="8" a="1"/>
  <c r="E60" i="8" s="1"/>
  <c r="D60" i="8" a="1"/>
  <c r="D60" i="8" s="1"/>
  <c r="C66" i="8" a="1"/>
  <c r="C66" i="8" s="1"/>
  <c r="F66" i="8" a="1"/>
  <c r="F66" i="8" s="1"/>
  <c r="D66" i="8" a="1"/>
  <c r="D66" i="8" s="1"/>
  <c r="E66" i="8" a="1"/>
  <c r="E66" i="8" s="1"/>
  <c r="D64" i="8" a="1"/>
  <c r="D64" i="8" s="1"/>
  <c r="E61" i="8" a="1"/>
  <c r="E61" i="8" s="1"/>
  <c r="F64" i="8" a="1"/>
  <c r="F64" i="8" s="1"/>
  <c r="D56" i="8" a="1"/>
  <c r="D56" i="8" s="1"/>
  <c r="E56" i="8" a="1"/>
  <c r="E56" i="8" s="1"/>
  <c r="F56" i="8" a="1"/>
  <c r="F56" i="8" s="1"/>
  <c r="C56" i="8" a="1"/>
  <c r="C56" i="8" s="1"/>
  <c r="D71" i="8" a="1"/>
  <c r="D71" i="8" s="1"/>
  <c r="D68" i="8" a="1"/>
  <c r="D68" i="8" s="1"/>
  <c r="D59" i="8" a="1"/>
  <c r="D59" i="8" s="1"/>
  <c r="E64" i="8" a="1"/>
  <c r="E64" i="8" s="1"/>
  <c r="F61" i="8" a="1"/>
  <c r="F61" i="8" s="1"/>
  <c r="F71" i="8" a="1"/>
  <c r="F71" i="8" s="1"/>
  <c r="D62" i="8" a="1"/>
  <c r="D62" i="8" s="1"/>
  <c r="C62" i="8" a="1"/>
  <c r="C62" i="8" s="1"/>
  <c r="E62" i="8" a="1"/>
  <c r="E62" i="8" s="1"/>
  <c r="F62" i="8" a="1"/>
  <c r="F62" i="8" s="1"/>
  <c r="E59" i="8" a="1"/>
  <c r="E59" i="8" s="1"/>
  <c r="C53" i="8" a="1"/>
  <c r="C53" i="8" s="1"/>
  <c r="F63" i="8" a="1"/>
  <c r="F63" i="8" s="1"/>
  <c r="C67" i="8" a="1"/>
  <c r="C67" i="8" s="1"/>
  <c r="D52" i="8" a="1"/>
  <c r="D52" i="8" s="1"/>
  <c r="F52" i="8" a="1"/>
  <c r="F52" i="8" s="1"/>
  <c r="C52" i="8" a="1"/>
  <c r="C52" i="8" s="1"/>
  <c r="E52" i="8" a="1"/>
  <c r="E52" i="8" s="1"/>
  <c r="C61" i="8" a="1"/>
  <c r="C61" i="8" s="1"/>
  <c r="E51" i="8" a="1"/>
  <c r="E51" i="8" s="1"/>
  <c r="C57" i="8" a="1"/>
  <c r="C57" i="8" s="1"/>
  <c r="D58" i="8" a="1"/>
  <c r="D58" i="8" s="1"/>
  <c r="C58" i="8" a="1"/>
  <c r="C58" i="8" s="1"/>
  <c r="F58" i="8" a="1"/>
  <c r="F58" i="8" s="1"/>
  <c r="E58" i="8" a="1"/>
  <c r="E58" i="8" s="1"/>
  <c r="C71" i="8" a="1"/>
  <c r="C71" i="8" s="1"/>
  <c r="C65" i="8" a="1"/>
  <c r="C65" i="8" s="1"/>
  <c r="F53" i="8" a="1"/>
  <c r="F53" i="8" s="1"/>
  <c r="E63" i="8" a="1"/>
  <c r="E63" i="8" s="1"/>
  <c r="D67" i="8" a="1"/>
  <c r="D67" i="8" s="1"/>
  <c r="D61" i="8" a="1"/>
  <c r="D61" i="8" s="1"/>
  <c r="L44" i="7"/>
  <c r="E71" i="8" a="1"/>
  <c r="E71" i="8" s="1"/>
  <c r="C55" i="8" a="1"/>
  <c r="C55" i="8" s="1"/>
  <c r="F55" i="8" a="1"/>
  <c r="F55" i="8" s="1"/>
  <c r="E55" i="8" a="1"/>
  <c r="E55" i="8" s="1"/>
  <c r="D55" i="8" a="1"/>
  <c r="D55" i="8" s="1"/>
  <c r="G55" i="8" s="1"/>
  <c r="E69" i="8" a="1"/>
  <c r="E69" i="8" s="1"/>
  <c r="D69" i="8" a="1"/>
  <c r="D69" i="8" s="1"/>
  <c r="C69" i="8" a="1"/>
  <c r="C69" i="8" s="1"/>
  <c r="F69" i="8" a="1"/>
  <c r="F69" i="8" s="1"/>
  <c r="F65" i="8" a="1"/>
  <c r="F65" i="8" s="1"/>
  <c r="E53" i="8" a="1"/>
  <c r="E53" i="8" s="1"/>
  <c r="C63" i="8" a="1"/>
  <c r="C63" i="8" s="1"/>
  <c r="F67" i="8" a="1"/>
  <c r="F67" i="8" s="1"/>
  <c r="E54" i="8" a="1"/>
  <c r="E54" i="8" s="1"/>
  <c r="D54" i="8" a="1"/>
  <c r="D54" i="8" s="1"/>
  <c r="F54" i="8" a="1"/>
  <c r="F54" i="8" s="1"/>
  <c r="C54" i="8" a="1"/>
  <c r="C54" i="8" s="1"/>
  <c r="K6" i="8" a="1"/>
  <c r="K6" i="8" s="1"/>
  <c r="F68" i="8" a="1"/>
  <c r="F68" i="8" s="1"/>
  <c r="D57" i="8" a="1"/>
  <c r="D57" i="8" s="1"/>
  <c r="D51" i="8" a="1"/>
  <c r="D51" i="8" s="1"/>
  <c r="G74" i="8"/>
  <c r="D65" i="8" a="1"/>
  <c r="D65" i="8" s="1"/>
  <c r="D53" i="8" a="1"/>
  <c r="D53" i="8" s="1"/>
  <c r="D63" i="8" a="1"/>
  <c r="D63" i="8" s="1"/>
  <c r="O44" i="11"/>
  <c r="P9" i="11"/>
  <c r="P44" i="11" s="1"/>
  <c r="O44" i="9"/>
  <c r="P9" i="9"/>
  <c r="P44" i="9" s="1"/>
  <c r="P35" i="7"/>
  <c r="Q35" i="7" s="1"/>
  <c r="S35" i="7" s="1"/>
  <c r="P30" i="7"/>
  <c r="Q30" i="7" s="1"/>
  <c r="S30" i="7" s="1"/>
  <c r="P25" i="7"/>
  <c r="Q25" i="7" s="1"/>
  <c r="S25" i="7" s="1"/>
  <c r="P20" i="7"/>
  <c r="Q20" i="7" s="1"/>
  <c r="S20" i="7" s="1"/>
  <c r="P39" i="7"/>
  <c r="Q39" i="7" s="1"/>
  <c r="S39" i="7" s="1"/>
  <c r="P34" i="7"/>
  <c r="Q34" i="7" s="1"/>
  <c r="S34" i="7" s="1"/>
  <c r="P29" i="7"/>
  <c r="Q29" i="7" s="1"/>
  <c r="S29" i="7" s="1"/>
  <c r="P24" i="7"/>
  <c r="Q24" i="7" s="1"/>
  <c r="S24" i="7" s="1"/>
  <c r="P28" i="7"/>
  <c r="Q28" i="7" s="1"/>
  <c r="S28" i="7" s="1"/>
  <c r="P38" i="7"/>
  <c r="Q38" i="7" s="1"/>
  <c r="S38" i="7" s="1"/>
  <c r="P15" i="7"/>
  <c r="Q15" i="7" s="1"/>
  <c r="S15" i="7" s="1"/>
  <c r="P10" i="7"/>
  <c r="Q10" i="7" s="1"/>
  <c r="S10" i="7" s="1"/>
  <c r="P42" i="7"/>
  <c r="Q42" i="7" s="1"/>
  <c r="S42" i="7" s="1"/>
  <c r="P37" i="7"/>
  <c r="Q37" i="7" s="1"/>
  <c r="S37" i="7" s="1"/>
  <c r="P32" i="7"/>
  <c r="Q32" i="7" s="1"/>
  <c r="S32" i="7" s="1"/>
  <c r="P43" i="7"/>
  <c r="Q43" i="7" s="1"/>
  <c r="S43" i="7" s="1"/>
  <c r="P33" i="7"/>
  <c r="Q33" i="7" s="1"/>
  <c r="S33" i="7" s="1"/>
  <c r="P19" i="7"/>
  <c r="Q19" i="7" s="1"/>
  <c r="S19" i="7" s="1"/>
  <c r="P14" i="7"/>
  <c r="Q14" i="7" s="1"/>
  <c r="S14" i="7" s="1"/>
  <c r="P9" i="7"/>
  <c r="P41" i="7"/>
  <c r="Q41" i="7" s="1"/>
  <c r="S41" i="7" s="1"/>
  <c r="P36" i="7"/>
  <c r="Q36" i="7" s="1"/>
  <c r="S36" i="7" s="1"/>
  <c r="G70" i="8" l="1"/>
  <c r="F72" i="8"/>
  <c r="G64" i="8"/>
  <c r="G54" i="8"/>
  <c r="G52" i="8"/>
  <c r="G67" i="8"/>
  <c r="D72" i="8"/>
  <c r="G57" i="8"/>
  <c r="G63" i="8"/>
  <c r="G53" i="8"/>
  <c r="G65" i="8"/>
  <c r="G61" i="8"/>
  <c r="G60" i="8"/>
  <c r="E72" i="8"/>
  <c r="C72" i="8"/>
  <c r="G51" i="8"/>
  <c r="G71" i="8"/>
  <c r="G59" i="8"/>
  <c r="G69" i="8"/>
  <c r="G62" i="8"/>
  <c r="G56" i="8"/>
  <c r="G66" i="8"/>
  <c r="G58" i="8"/>
  <c r="G68" i="8"/>
  <c r="P44" i="7"/>
  <c r="Q9" i="7"/>
  <c r="G72" i="8" l="1"/>
  <c r="S9" i="7"/>
  <c r="S44" i="7" s="1"/>
  <c r="Q44" i="7"/>
  <c r="G75" i="8" l="1"/>
  <c r="G76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<sst xmlns="http://schemas.openxmlformats.org/spreadsheetml/2006/main" count="970" uniqueCount="98">
  <si>
    <t>Mes (Fecha de emisión de factura)</t>
  </si>
  <si>
    <t>Versión</t>
  </si>
  <si>
    <t>def</t>
  </si>
  <si>
    <t>N°</t>
  </si>
  <si>
    <t>Clave</t>
  </si>
  <si>
    <t>Libro DP</t>
  </si>
  <si>
    <t>Distribuidora o Cooperativa</t>
  </si>
  <si>
    <t>EFACTAT</t>
  </si>
  <si>
    <t xml:space="preserve">EFACTBT </t>
  </si>
  <si>
    <t>EINYAT</t>
  </si>
  <si>
    <t>EINYBT</t>
  </si>
  <si>
    <t>MFAR</t>
  </si>
  <si>
    <t>[kWh]</t>
  </si>
  <si>
    <t>[$]</t>
  </si>
  <si>
    <t>CEC</t>
  </si>
  <si>
    <t>COELCHA</t>
  </si>
  <si>
    <t>EEC</t>
  </si>
  <si>
    <t>EMELCA</t>
  </si>
  <si>
    <t>CGED</t>
  </si>
  <si>
    <t>ELECDA SIC</t>
  </si>
  <si>
    <t>ELECDA</t>
  </si>
  <si>
    <t>EMELAT</t>
  </si>
  <si>
    <t>EMELECTRIC</t>
  </si>
  <si>
    <t>EMETAL</t>
  </si>
  <si>
    <t>ENEL DISTRIBUCIÓN</t>
  </si>
  <si>
    <t>LUZ ANDES</t>
  </si>
  <si>
    <t>CONAFE A</t>
  </si>
  <si>
    <t>CONAFE B</t>
  </si>
  <si>
    <t>ENELSA</t>
  </si>
  <si>
    <t>CRELL</t>
  </si>
  <si>
    <t>COPELEC</t>
  </si>
  <si>
    <t>EEPA</t>
  </si>
  <si>
    <t>COOPREL</t>
  </si>
  <si>
    <t>SOCOEPA</t>
  </si>
  <si>
    <t>COOPELAN</t>
  </si>
  <si>
    <t>FRONTEL</t>
  </si>
  <si>
    <t>LUZ OSORNO</t>
  </si>
  <si>
    <t>SAESA</t>
  </si>
  <si>
    <t>CODINER</t>
  </si>
  <si>
    <t>CHILQUINTA</t>
  </si>
  <si>
    <t>EDECSA</t>
  </si>
  <si>
    <t>LITORAL</t>
  </si>
  <si>
    <t>LUZLINARES</t>
  </si>
  <si>
    <t>LUZPARRAL</t>
  </si>
  <si>
    <t>TIL TIL</t>
  </si>
  <si>
    <t>TIL-TIL</t>
  </si>
  <si>
    <t>EMELARI</t>
  </si>
  <si>
    <t>ELIQSA</t>
  </si>
  <si>
    <t>ELECDA SING</t>
  </si>
  <si>
    <t>COOPERSOL</t>
  </si>
  <si>
    <t>DESA</t>
  </si>
  <si>
    <t>MATAQUITO</t>
  </si>
  <si>
    <t>Total</t>
  </si>
  <si>
    <t>VTD</t>
  </si>
  <si>
    <t>MFCD RGL</t>
  </si>
  <si>
    <t>MF7TRAN</t>
  </si>
  <si>
    <t>Montos Recaudados TD</t>
  </si>
  <si>
    <t>Variación IPC %</t>
  </si>
  <si>
    <t>Saldo + IPC</t>
  </si>
  <si>
    <t>Ajuste de saldo</t>
  </si>
  <si>
    <t>Ajuste de saldo + IPC</t>
  </si>
  <si>
    <t>VTD +Ajuste</t>
  </si>
  <si>
    <t>VTD Negativo</t>
  </si>
  <si>
    <t>VTD Positivo</t>
  </si>
  <si>
    <t>Monto a Transferir x empresa</t>
  </si>
  <si>
    <t>Saldo</t>
  </si>
  <si>
    <t>TOTAL</t>
  </si>
  <si>
    <t>Total VTD Positivo</t>
  </si>
  <si>
    <t>Total VTD Negativo</t>
  </si>
  <si>
    <t>Monto Final</t>
  </si>
  <si>
    <t>Montos Recaudados AR</t>
  </si>
  <si>
    <t>VA</t>
  </si>
  <si>
    <t>VR</t>
  </si>
  <si>
    <t>Diferencias en saldos</t>
  </si>
  <si>
    <t>Saldo final</t>
  </si>
  <si>
    <t>VTRS</t>
  </si>
  <si>
    <t>VTAS</t>
  </si>
  <si>
    <t>Montos a Transferir por Reliquidación de Ajustes y Recargos entre empresas concesionarias</t>
  </si>
  <si>
    <t>Montos a Transferir x empresa</t>
  </si>
  <si>
    <t>Diferencias en cuadros de pagos</t>
  </si>
  <si>
    <t>Montos a Transferir agrupado</t>
  </si>
  <si>
    <t>Montos a Transferir</t>
  </si>
  <si>
    <t>CGE</t>
  </si>
  <si>
    <t>ENEL DISTRIBUCION</t>
  </si>
  <si>
    <t>Cuadro de Pagos</t>
  </si>
  <si>
    <t>Pagan (montos en $)</t>
  </si>
  <si>
    <t>Reciben (montos en $)</t>
  </si>
  <si>
    <t>Montos Recaudados CD RGL</t>
  </si>
  <si>
    <t>MFCDRGL</t>
  </si>
  <si>
    <t>VD</t>
  </si>
  <si>
    <t>VC</t>
  </si>
  <si>
    <t>VTCS</t>
  </si>
  <si>
    <t>VTDS</t>
  </si>
  <si>
    <t>Montos a Transferir por Reliquidación de Cargo y Descuento por Reconocimiento de Generación Local entre empresas concesionarias</t>
  </si>
  <si>
    <t xml:space="preserve"> </t>
  </si>
  <si>
    <t>Montos Recaudados 7TRAN</t>
  </si>
  <si>
    <t>Montos a transferir por descuento en comunas reconocidas como zonas en transición (7° Transitorio)</t>
  </si>
  <si>
    <t>resumen_montos_facturados_TD_AR_CDpRGL_2410def.xlsx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</si>
</sst>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#,##0_ ;[Red]\-#,##0\ "/>
    <numFmt numFmtId="165" formatCode="_-* #,##0_-;\-* #,##0_-;_-* &quot;-&quot;_-;_-@_-"/>
    <numFmt numFmtId="166" formatCode="mmmm\ yyyy"/>
    <numFmt numFmtId="167" formatCode="0.0000%"/>
    <numFmt numFmtId="168" formatCode="0.00000%"/>
  </numFmts>
  <fonts count="11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color indexed="8"/>
      <name val="Calibri"/>
      <family val="2"/>
    </font>
    <font>
      <sz val="10"/>
      <color indexed="12"/>
      <name val="Calibri"/>
      <family val="2"/>
    </font>
    <font>
      <b/>
      <sz val="10"/>
      <color indexed="12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8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3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7" fillId="0" borderId="1" xfId="0" applyNumberFormat="1" applyFont="1" applyBorder="1"/>
    <xf numFmtId="164" fontId="0" fillId="0" borderId="0" xfId="0" applyNumberFormat="1"/>
    <xf numFmtId="9" fontId="0" fillId="0" borderId="0" xfId="3" applyFont="1"/>
    <xf numFmtId="0" fontId="6" fillId="0" borderId="4" xfId="0" applyFont="1" applyBorder="1"/>
    <xf numFmtId="0" fontId="0" fillId="0" borderId="2" xfId="0" applyBorder="1"/>
    <xf numFmtId="0" fontId="0" fillId="0" borderId="3" xfId="0" applyBorder="1"/>
    <xf numFmtId="164" fontId="9" fillId="0" borderId="1" xfId="0" applyNumberFormat="1" applyFont="1" applyBorder="1"/>
    <xf numFmtId="3" fontId="0" fillId="0" borderId="0" xfId="0" applyNumberFormat="1"/>
    <xf numFmtId="165" fontId="0" fillId="0" borderId="0" xfId="1" applyFont="1"/>
    <xf numFmtId="0" fontId="6" fillId="0" borderId="0" xfId="0" applyFont="1"/>
    <xf numFmtId="0" fontId="2" fillId="0" borderId="0" xfId="0" applyFont="1"/>
    <xf numFmtId="166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67" fontId="0" fillId="0" borderId="1" xfId="0" applyNumberFormat="1" applyBorder="1"/>
    <xf numFmtId="167" fontId="0" fillId="0" borderId="0" xfId="0" applyNumberFormat="1"/>
    <xf numFmtId="168" fontId="0" fillId="0" borderId="0" xfId="3" applyNumberFormat="1" applyFont="1" applyFill="1"/>
    <xf numFmtId="17" fontId="6" fillId="0" borderId="5" xfId="0" applyNumberFormat="1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0" fontId="0" fillId="0" borderId="6" xfId="0" applyBorder="1"/>
    <xf numFmtId="164" fontId="7" fillId="0" borderId="5" xfId="0" applyNumberFormat="1" applyFont="1" applyBorder="1"/>
    <xf numFmtId="0" fontId="0" fillId="0" borderId="10" xfId="0" applyBorder="1"/>
    <xf numFmtId="164" fontId="7" fillId="0" borderId="7" xfId="0" applyNumberFormat="1" applyFont="1" applyBorder="1"/>
    <xf numFmtId="0" fontId="0" fillId="0" borderId="9" xfId="0" applyBorder="1"/>
    <xf numFmtId="164" fontId="7" fillId="0" borderId="8" xfId="0" applyNumberFormat="1" applyFont="1" applyBorder="1"/>
    <xf numFmtId="0" fontId="6" fillId="0" borderId="9" xfId="0" applyFont="1" applyBorder="1" applyAlignment="1">
      <alignment horizontal="left" indent="1"/>
    </xf>
    <xf numFmtId="3" fontId="6" fillId="0" borderId="11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3" borderId="0" xfId="0" applyFill="1"/>
    <xf numFmtId="3" fontId="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3" fontId="2" fillId="0" borderId="0" xfId="0" applyNumberFormat="1" applyFont="1"/>
    <xf numFmtId="165" fontId="2" fillId="0" borderId="0" xfId="1" applyFont="1"/>
    <xf numFmtId="168" fontId="2" fillId="0" borderId="0" xfId="3" applyNumberFormat="1" applyFont="1" applyFill="1"/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64" fontId="7" fillId="0" borderId="0" xfId="0" applyNumberFormat="1" applyFont="1"/>
    <xf numFmtId="1" fontId="0" fillId="0" borderId="0" xfId="0" applyNumberFormat="1"/>
    <xf numFmtId="0" fontId="6" fillId="0" borderId="0" xfId="0" applyFont="1" applyAlignment="1">
      <alignment horizontal="left" indent="1"/>
    </xf>
    <xf numFmtId="3" fontId="0" fillId="0" borderId="0" xfId="0" applyNumberFormat="1" applyAlignment="1">
      <alignment vertical="center"/>
    </xf>
    <xf numFmtId="164" fontId="9" fillId="0" borderId="0" xfId="0" applyNumberFormat="1" applyFont="1"/>
    <xf numFmtId="0" fontId="1" fillId="0" borderId="0" xfId="4"/>
    <xf numFmtId="0" fontId="6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8" xfId="0" applyNumberFormat="1" applyFont="1" applyBorder="1" applyAlignment="1">
      <alignment horizontal="left"/>
    </xf>
    <xf numFmtId="3" fontId="6" fillId="0" borderId="1" xfId="0" applyNumberFormat="1" applyFont="1" applyBorder="1" applyAlignment="1">
      <alignment horizontal="left"/>
    </xf>
    <xf numFmtId="3" fontId="0" fillId="4" borderId="8" xfId="0" applyNumberFormat="1" applyFill="1" applyBorder="1"/>
    <xf numFmtId="3" fontId="0" fillId="0" borderId="1" xfId="0" applyNumberFormat="1" applyBorder="1" applyAlignment="1">
      <alignment vertical="center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42" fontId="2" fillId="0" borderId="0" xfId="2" applyFont="1"/>
    <xf numFmtId="0" fontId="2" fillId="3" borderId="0" xfId="0" applyFont="1" applyFill="1"/>
    <xf numFmtId="0" fontId="6" fillId="3" borderId="0" xfId="0" applyFont="1" applyFill="1" applyAlignment="1">
      <alignment horizontal="left"/>
    </xf>
    <xf numFmtId="166" fontId="6" fillId="3" borderId="0" xfId="0" applyNumberFormat="1" applyFont="1" applyFill="1" applyAlignment="1">
      <alignment horizontal="left"/>
    </xf>
    <xf numFmtId="17" fontId="6" fillId="3" borderId="0" xfId="0" applyNumberFormat="1" applyFont="1" applyFill="1" applyAlignment="1">
      <alignment horizontal="left"/>
    </xf>
    <xf numFmtId="0" fontId="0" fillId="3" borderId="6" xfId="0" applyFill="1" applyBorder="1"/>
    <xf numFmtId="164" fontId="7" fillId="3" borderId="5" xfId="0" applyNumberFormat="1" applyFont="1" applyFill="1" applyBorder="1"/>
    <xf numFmtId="165" fontId="2" fillId="3" borderId="0" xfId="1" applyFont="1" applyFill="1" applyBorder="1"/>
    <xf numFmtId="164" fontId="7" fillId="3" borderId="7" xfId="0" applyNumberFormat="1" applyFont="1" applyFill="1" applyBorder="1"/>
    <xf numFmtId="165" fontId="2" fillId="3" borderId="10" xfId="1" applyFont="1" applyFill="1" applyBorder="1"/>
    <xf numFmtId="0" fontId="0" fillId="3" borderId="10" xfId="0" applyFill="1" applyBorder="1"/>
    <xf numFmtId="0" fontId="0" fillId="3" borderId="9" xfId="0" applyFill="1" applyBorder="1"/>
    <xf numFmtId="0" fontId="6" fillId="3" borderId="9" xfId="0" applyFont="1" applyFill="1" applyBorder="1" applyAlignment="1">
      <alignment horizontal="left" indent="1"/>
    </xf>
    <xf numFmtId="164" fontId="9" fillId="3" borderId="1" xfId="0" applyNumberFormat="1" applyFont="1" applyFill="1" applyBorder="1"/>
    <xf numFmtId="3" fontId="2" fillId="3" borderId="0" xfId="0" applyNumberFormat="1" applyFont="1" applyFill="1"/>
    <xf numFmtId="0" fontId="6" fillId="3" borderId="0" xfId="0" applyFont="1" applyFill="1" applyAlignment="1">
      <alignment horizontal="left" indent="1"/>
    </xf>
    <xf numFmtId="3" fontId="0" fillId="3" borderId="0" xfId="0" applyNumberFormat="1" applyFill="1"/>
    <xf numFmtId="164" fontId="7" fillId="3" borderId="8" xfId="0" applyNumberFormat="1" applyFont="1" applyFill="1" applyBorder="1"/>
    <xf numFmtId="165" fontId="2" fillId="3" borderId="0" xfId="1" applyFont="1" applyFill="1"/>
    <xf numFmtId="3" fontId="0" fillId="3" borderId="0" xfId="0" applyNumberFormat="1" applyFill="1" applyAlignment="1">
      <alignment vertical="center"/>
    </xf>
    <xf numFmtId="0" fontId="6" fillId="3" borderId="0" xfId="0" applyFont="1" applyFill="1"/>
    <xf numFmtId="3" fontId="0" fillId="5" borderId="8" xfId="0" applyNumberFormat="1" applyFill="1" applyBorder="1"/>
    <xf numFmtId="3" fontId="0" fillId="3" borderId="8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3" fontId="6" fillId="3" borderId="1" xfId="0" applyNumberFormat="1" applyFont="1" applyFill="1" applyBorder="1"/>
    <xf numFmtId="3" fontId="6" fillId="3" borderId="0" xfId="0" applyNumberFormat="1" applyFont="1" applyFill="1"/>
    <xf numFmtId="0" fontId="6" fillId="3" borderId="5" xfId="0" applyFont="1" applyFill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5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7" fontId="6" fillId="0" borderId="6" xfId="0" applyNumberFormat="1" applyFont="1" applyBorder="1" applyAlignment="1">
      <alignment horizontal="center" vertical="center" wrapText="1"/>
    </xf>
    <xf numFmtId="17" fontId="6" fillId="0" borderId="9" xfId="0" applyNumberFormat="1" applyFont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 wrapText="1"/>
    </xf>
    <xf numFmtId="17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7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 wrapText="1"/>
    </xf>
    <xf numFmtId="17" fontId="6" fillId="3" borderId="5" xfId="0" applyNumberFormat="1" applyFont="1" applyFill="1" applyBorder="1" applyAlignment="1">
      <alignment horizontal="center" vertical="center" wrapText="1"/>
    </xf>
    <xf numFmtId="17" fontId="6" fillId="3" borderId="8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</cellXfs>
  <cellStyles count="5">
    <cellStyle name="Millares [0]" xfId="1" builtinId="6"/>
    <cellStyle name="Moneda [0]" xfId="2" builtinId="7"/>
    <cellStyle name="Normal" xfId="0" builtinId="0"/>
    <cellStyle name="Normal 3" xfId="4" xr:uid="{3F3A9C73-BCD7-41E2-A2F4-D799E1C60A52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49DB3-FC82-4F97-BC79-F5E587D387BD}">
  <sheetPr codeName="Hoja8">
    <tabColor theme="0"/>
  </sheetPr>
  <dimension ref="B2:N45"/>
  <sheetViews>
    <sheetView showGridLines="0" tabSelected="1" zoomScale="85" zoomScaleNormal="85" workbookViewId="0"/>
  </sheetViews>
  <sheetFormatPr baseColWidth="10" defaultRowHeight="12.75" x14ac:dyDescent="0.2"/>
  <cols>
    <col min="2" max="2" width="3.42578125" customWidth="1"/>
    <col min="3" max="3" width="16.140625" customWidth="1"/>
    <col min="4" max="4" width="49.5703125" bestFit="1" customWidth="1"/>
    <col min="5" max="5" width="16.7109375" customWidth="1"/>
    <col min="6" max="6" width="12.85546875" customWidth="1"/>
    <col min="7" max="7" width="15.85546875" customWidth="1"/>
    <col min="8" max="8" width="13.140625" customWidth="1"/>
    <col min="9" max="9" width="9.5703125" bestFit="1" customWidth="1"/>
    <col min="10" max="10" width="13.5703125" bestFit="1" customWidth="1"/>
    <col min="11" max="11" width="17.85546875" customWidth="1"/>
    <col min="12" max="12" width="18.42578125" customWidth="1"/>
    <col min="13" max="13" width="13.140625" customWidth="1"/>
    <col min="14" max="14" width="11.42578125" customWidth="1"/>
    <col min="15" max="15" width="11.85546875" bestFit="1" customWidth="1"/>
    <col min="16" max="16" width="13.28515625" customWidth="1"/>
    <col min="17" max="17" width="11.5703125" customWidth="1"/>
    <col min="18" max="18" width="9.7109375" bestFit="1" customWidth="1"/>
    <col min="19" max="19" width="13.28515625" bestFit="1" customWidth="1"/>
  </cols>
  <sheetData>
    <row r="2" spans="2:14" x14ac:dyDescent="0.2">
      <c r="B2" s="1" t="s">
        <v>0</v>
      </c>
      <c r="D2" s="1"/>
      <c r="E2" s="97" t="s">
        <v>1</v>
      </c>
      <c r="F2" s="97"/>
      <c r="G2" s="2" t="s">
        <v>2</v>
      </c>
    </row>
    <row r="3" spans="2:14" x14ac:dyDescent="0.2">
      <c r="B3" s="98">
        <v>45566</v>
      </c>
      <c r="C3" s="98"/>
      <c r="D3" s="3"/>
    </row>
    <row r="4" spans="2:14" x14ac:dyDescent="0.2">
      <c r="B4" s="1"/>
    </row>
    <row r="6" spans="2:14" x14ac:dyDescent="0.2">
      <c r="B6" s="99" t="s">
        <v>3</v>
      </c>
      <c r="C6" s="99" t="s">
        <v>4</v>
      </c>
      <c r="D6" s="99" t="s">
        <v>5</v>
      </c>
      <c r="E6" s="99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</row>
    <row r="7" spans="2:14" x14ac:dyDescent="0.2">
      <c r="B7" s="99"/>
      <c r="C7" s="99"/>
      <c r="D7" s="99"/>
      <c r="E7" s="99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</row>
    <row r="8" spans="2:14" x14ac:dyDescent="0.2">
      <c r="B8" s="5">
        <v>1</v>
      </c>
      <c r="C8" s="5" t="s">
        <v>14</v>
      </c>
      <c r="D8" s="6" t="str">
        <f>"resumen_montos_facturados_TD_AR_CDpRGL"&amp;"_"&amp;TEXT($B$3,"yymm")&amp;$G$2&amp;".xlsx"</f>
        <v>resumen_montos_facturados_TD_AR_CDpRGL_2410def.xlsx</v>
      </c>
      <c r="E8" s="5" t="s">
        <v>14</v>
      </c>
      <c r="F8" s="7">
        <v>1369056</v>
      </c>
      <c r="G8" s="7">
        <v>3036897</v>
      </c>
      <c r="H8" s="7">
        <v>145180</v>
      </c>
      <c r="I8" s="7">
        <v>29987</v>
      </c>
      <c r="J8" s="7">
        <v>-7952159.7601680513</v>
      </c>
      <c r="K8" s="8"/>
      <c r="L8" s="8"/>
      <c r="M8" s="9"/>
      <c r="N8" s="9"/>
    </row>
    <row r="9" spans="2:14" x14ac:dyDescent="0.2">
      <c r="B9" s="5">
        <v>2</v>
      </c>
      <c r="C9" s="5" t="s">
        <v>15</v>
      </c>
      <c r="D9" s="6" t="str">
        <f t="shared" ref="D9:D43" si="0">"resumen_montos_facturados_TD_AR_CDpRGL"&amp;"_"&amp;TEXT($B$3,"yymm")&amp;$G$2&amp;".xlsx"</f>
        <v>resumen_montos_facturados_TD_AR_CDpRGL_2410def.xlsx</v>
      </c>
      <c r="E9" s="5" t="s">
        <v>15</v>
      </c>
      <c r="F9" s="7">
        <v>736444</v>
      </c>
      <c r="G9" s="7">
        <v>2954329</v>
      </c>
      <c r="H9" s="7">
        <v>1383</v>
      </c>
      <c r="I9" s="7">
        <v>30387</v>
      </c>
      <c r="J9" s="7">
        <v>-28907500.99154764</v>
      </c>
      <c r="K9" s="8"/>
      <c r="L9" s="8"/>
      <c r="M9" s="9"/>
      <c r="N9" s="9"/>
    </row>
    <row r="10" spans="2:14" x14ac:dyDescent="0.2">
      <c r="B10" s="5">
        <v>3</v>
      </c>
      <c r="C10" s="5" t="s">
        <v>16</v>
      </c>
      <c r="D10" s="6" t="str">
        <f t="shared" si="0"/>
        <v>resumen_montos_facturados_TD_AR_CDpRGL_2410def.xlsx</v>
      </c>
      <c r="E10" s="5" t="s">
        <v>16</v>
      </c>
      <c r="F10" s="7">
        <v>1805683.4</v>
      </c>
      <c r="G10" s="7">
        <v>5971293.3500100002</v>
      </c>
      <c r="H10" s="7">
        <v>0</v>
      </c>
      <c r="I10" s="7">
        <v>13086.6</v>
      </c>
      <c r="J10" s="7">
        <v>14947641.36613618</v>
      </c>
      <c r="K10" s="8"/>
      <c r="L10" s="8"/>
      <c r="M10" s="9"/>
      <c r="N10" s="9"/>
    </row>
    <row r="11" spans="2:14" x14ac:dyDescent="0.2">
      <c r="B11" s="5">
        <v>4</v>
      </c>
      <c r="C11" s="5" t="s">
        <v>17</v>
      </c>
      <c r="D11" s="6" t="str">
        <f t="shared" si="0"/>
        <v>resumen_montos_facturados_TD_AR_CDpRGL_2410def.xlsx</v>
      </c>
      <c r="E11" s="5" t="s">
        <v>17</v>
      </c>
      <c r="F11" s="7">
        <v>407838</v>
      </c>
      <c r="G11" s="7">
        <v>1342341</v>
      </c>
      <c r="H11" s="7">
        <v>0</v>
      </c>
      <c r="I11" s="7">
        <v>0</v>
      </c>
      <c r="J11" s="7">
        <v>3077102.9568142262</v>
      </c>
      <c r="K11" s="8"/>
      <c r="L11" s="8"/>
      <c r="M11" s="9"/>
      <c r="N11" s="9"/>
    </row>
    <row r="12" spans="2:14" ht="12" customHeight="1" x14ac:dyDescent="0.2">
      <c r="B12" s="5">
        <v>5</v>
      </c>
      <c r="C12" s="5" t="s">
        <v>18</v>
      </c>
      <c r="D12" s="6" t="str">
        <f t="shared" si="0"/>
        <v>resumen_montos_facturados_TD_AR_CDpRGL_2410def.xlsx</v>
      </c>
      <c r="E12" s="5" t="s">
        <v>18</v>
      </c>
      <c r="F12" s="7">
        <v>129685529.675</v>
      </c>
      <c r="G12" s="7">
        <v>463007299.80900002</v>
      </c>
      <c r="H12" s="7">
        <v>5592286.5279999999</v>
      </c>
      <c r="I12" s="7">
        <v>1342583.72</v>
      </c>
      <c r="J12" s="7">
        <v>-1502892240.320658</v>
      </c>
      <c r="K12" s="8"/>
      <c r="L12" s="8"/>
      <c r="M12" s="9"/>
      <c r="N12" s="9"/>
    </row>
    <row r="13" spans="2:14" x14ac:dyDescent="0.2">
      <c r="B13" s="5">
        <v>6</v>
      </c>
      <c r="C13" s="5" t="s">
        <v>19</v>
      </c>
      <c r="D13" s="6" t="str">
        <f t="shared" si="0"/>
        <v>resumen_montos_facturados_TD_AR_CDpRGL_2410def.xlsx</v>
      </c>
      <c r="E13" s="5" t="s">
        <v>20</v>
      </c>
      <c r="F13" s="7">
        <v>233278</v>
      </c>
      <c r="G13" s="7">
        <v>913327.00399999996</v>
      </c>
      <c r="H13" s="7">
        <v>0</v>
      </c>
      <c r="I13" s="7">
        <v>0</v>
      </c>
      <c r="J13" s="7">
        <v>2105327.2992517659</v>
      </c>
      <c r="K13" s="8"/>
      <c r="L13" s="8"/>
      <c r="M13" s="9"/>
      <c r="N13" s="9"/>
    </row>
    <row r="14" spans="2:14" x14ac:dyDescent="0.2">
      <c r="B14" s="5">
        <v>7</v>
      </c>
      <c r="C14" s="5" t="s">
        <v>21</v>
      </c>
      <c r="D14" s="6" t="str">
        <f t="shared" si="0"/>
        <v>resumen_montos_facturados_TD_AR_CDpRGL_2410def.xlsx</v>
      </c>
      <c r="E14" s="5" t="s">
        <v>21</v>
      </c>
      <c r="F14" s="7">
        <v>10262916.464</v>
      </c>
      <c r="G14" s="7">
        <v>20625852.081</v>
      </c>
      <c r="H14" s="7">
        <v>749459.40300000005</v>
      </c>
      <c r="I14" s="7">
        <v>73566.923999999999</v>
      </c>
      <c r="J14" s="7">
        <v>-158288861.29006699</v>
      </c>
      <c r="K14" s="8"/>
      <c r="L14" s="8"/>
      <c r="M14" s="9"/>
      <c r="N14" s="9"/>
    </row>
    <row r="15" spans="2:14" x14ac:dyDescent="0.2">
      <c r="B15" s="5">
        <v>8</v>
      </c>
      <c r="C15" s="5" t="s">
        <v>22</v>
      </c>
      <c r="D15" s="6" t="str">
        <f t="shared" si="0"/>
        <v>resumen_montos_facturados_TD_AR_CDpRGL_2410def.xlsx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9"/>
      <c r="N15" s="9"/>
    </row>
    <row r="16" spans="2:14" x14ac:dyDescent="0.2">
      <c r="B16" s="5">
        <v>9</v>
      </c>
      <c r="C16" s="5" t="s">
        <v>23</v>
      </c>
      <c r="D16" s="6" t="str">
        <f t="shared" si="0"/>
        <v>resumen_montos_facturados_TD_AR_CDpRGL_2410def.xlsx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9"/>
      <c r="N16" s="9"/>
    </row>
    <row r="17" spans="2:14" x14ac:dyDescent="0.2">
      <c r="B17" s="5">
        <v>10</v>
      </c>
      <c r="C17" s="5" t="s">
        <v>24</v>
      </c>
      <c r="D17" s="6" t="str">
        <f t="shared" si="0"/>
        <v>resumen_montos_facturados_TD_AR_CDpRGL_2410def.xlsx</v>
      </c>
      <c r="E17" s="5" t="s">
        <v>24</v>
      </c>
      <c r="F17" s="7">
        <v>99612592.739000008</v>
      </c>
      <c r="G17" s="7">
        <v>577285819.03400004</v>
      </c>
      <c r="H17" s="7">
        <v>535261</v>
      </c>
      <c r="I17" s="7">
        <v>1262498.5719999999</v>
      </c>
      <c r="J17" s="7">
        <v>1234796335.855016</v>
      </c>
      <c r="K17" s="8"/>
      <c r="L17" s="8"/>
      <c r="M17" s="9"/>
      <c r="N17" s="9"/>
    </row>
    <row r="18" spans="2:14" x14ac:dyDescent="0.2">
      <c r="B18" s="5">
        <v>11</v>
      </c>
      <c r="C18" s="5" t="s">
        <v>25</v>
      </c>
      <c r="D18" s="6" t="str">
        <f t="shared" si="0"/>
        <v>resumen_montos_facturados_TD_AR_CDpRGL_2410def.xlsx</v>
      </c>
      <c r="E18" s="5" t="s">
        <v>25</v>
      </c>
      <c r="F18" s="7">
        <v>124916</v>
      </c>
      <c r="G18" s="7">
        <v>2350374.5529999998</v>
      </c>
      <c r="H18" s="7">
        <v>0</v>
      </c>
      <c r="I18" s="7">
        <v>17249</v>
      </c>
      <c r="J18" s="7">
        <v>3969141.2517738892</v>
      </c>
      <c r="K18" s="8"/>
      <c r="L18" s="8"/>
      <c r="M18" s="9"/>
      <c r="N18" s="9"/>
    </row>
    <row r="19" spans="2:14" x14ac:dyDescent="0.2">
      <c r="B19" s="5">
        <v>12</v>
      </c>
      <c r="C19" s="5" t="s">
        <v>26</v>
      </c>
      <c r="D19" s="6" t="str">
        <f t="shared" si="0"/>
        <v>resumen_montos_facturados_TD_AR_CDpRGL_2410def.xlsx</v>
      </c>
      <c r="E19" s="5" t="s">
        <v>26</v>
      </c>
      <c r="F19" s="7">
        <v>32570199.870000001</v>
      </c>
      <c r="G19" s="7">
        <v>70264417.353</v>
      </c>
      <c r="H19" s="7">
        <v>1138181.7109999999</v>
      </c>
      <c r="I19" s="7">
        <v>170381.96400000001</v>
      </c>
      <c r="J19" s="7">
        <v>-338670074.11871189</v>
      </c>
      <c r="K19" s="8"/>
      <c r="L19" s="8"/>
      <c r="M19" s="9"/>
      <c r="N19" s="9"/>
    </row>
    <row r="20" spans="2:14" x14ac:dyDescent="0.2">
      <c r="B20" s="5">
        <v>13</v>
      </c>
      <c r="C20" s="5" t="s">
        <v>27</v>
      </c>
      <c r="D20" s="6" t="str">
        <f t="shared" si="0"/>
        <v>resumen_montos_facturados_TD_AR_CDpRGL_2410def.xlsx</v>
      </c>
      <c r="E20" s="5" t="s">
        <v>27</v>
      </c>
      <c r="F20" s="7">
        <v>3244522.9169999999</v>
      </c>
      <c r="G20" s="7">
        <v>18023899.783</v>
      </c>
      <c r="H20" s="7">
        <v>0</v>
      </c>
      <c r="I20" s="7">
        <v>16943.004000000001</v>
      </c>
      <c r="J20" s="7">
        <v>-69956380.024675578</v>
      </c>
      <c r="K20" s="8"/>
      <c r="L20" s="8"/>
      <c r="M20" s="9"/>
      <c r="N20" s="9"/>
    </row>
    <row r="21" spans="2:14" x14ac:dyDescent="0.2">
      <c r="B21" s="5">
        <v>14</v>
      </c>
      <c r="C21" s="5" t="s">
        <v>28</v>
      </c>
      <c r="D21" s="6" t="str">
        <f t="shared" si="0"/>
        <v>resumen_montos_facturados_TD_AR_CDpRGL_2410def.xlsx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9"/>
      <c r="N21" s="9"/>
    </row>
    <row r="22" spans="2:14" x14ac:dyDescent="0.2">
      <c r="B22" s="5">
        <v>15</v>
      </c>
      <c r="C22" s="5" t="s">
        <v>29</v>
      </c>
      <c r="D22" s="6" t="str">
        <f t="shared" si="0"/>
        <v>resumen_montos_facturados_TD_AR_CDpRGL_2410def.xlsx</v>
      </c>
      <c r="E22" s="5" t="s">
        <v>29</v>
      </c>
      <c r="F22" s="7">
        <v>1337677</v>
      </c>
      <c r="G22" s="7">
        <v>7924621</v>
      </c>
      <c r="H22" s="7">
        <v>880</v>
      </c>
      <c r="I22" s="7">
        <v>17333</v>
      </c>
      <c r="J22" s="7">
        <v>-118910282.8689737</v>
      </c>
      <c r="K22" s="8"/>
      <c r="L22" s="8"/>
      <c r="M22" s="9"/>
      <c r="N22" s="9"/>
    </row>
    <row r="23" spans="2:14" x14ac:dyDescent="0.2">
      <c r="B23" s="5">
        <v>16</v>
      </c>
      <c r="C23" s="5" t="s">
        <v>30</v>
      </c>
      <c r="D23" s="6" t="str">
        <f t="shared" si="0"/>
        <v>resumen_montos_facturados_TD_AR_CDpRGL_2410def.xlsx</v>
      </c>
      <c r="E23" s="5" t="s">
        <v>30</v>
      </c>
      <c r="F23" s="7">
        <v>4035448</v>
      </c>
      <c r="G23" s="7">
        <v>13663454</v>
      </c>
      <c r="H23" s="7">
        <v>687984</v>
      </c>
      <c r="I23" s="7">
        <v>116064</v>
      </c>
      <c r="J23" s="7">
        <v>28930232.742784079</v>
      </c>
      <c r="K23" s="8"/>
      <c r="L23" s="8"/>
      <c r="M23" s="9"/>
      <c r="N23" s="9"/>
    </row>
    <row r="24" spans="2:14" x14ac:dyDescent="0.2">
      <c r="B24" s="5">
        <v>17</v>
      </c>
      <c r="C24" s="5" t="s">
        <v>31</v>
      </c>
      <c r="D24" s="6" t="str">
        <f t="shared" si="0"/>
        <v>resumen_montos_facturados_TD_AR_CDpRGL_2410def.xlsx</v>
      </c>
      <c r="E24" s="5" t="s">
        <v>31</v>
      </c>
      <c r="F24" s="7">
        <v>1680286</v>
      </c>
      <c r="G24" s="7">
        <v>13303288</v>
      </c>
      <c r="H24" s="7">
        <v>85</v>
      </c>
      <c r="I24" s="7">
        <v>62987</v>
      </c>
      <c r="J24" s="7">
        <v>25383361.31792609</v>
      </c>
      <c r="K24" s="8"/>
      <c r="L24" s="8"/>
      <c r="M24" s="9"/>
      <c r="N24" s="9"/>
    </row>
    <row r="25" spans="2:14" x14ac:dyDescent="0.2">
      <c r="B25" s="5">
        <v>18</v>
      </c>
      <c r="C25" s="5" t="s">
        <v>32</v>
      </c>
      <c r="D25" s="6" t="str">
        <f t="shared" si="0"/>
        <v>resumen_montos_facturados_TD_AR_CDpRGL_2410def.xlsx</v>
      </c>
      <c r="E25" s="5" t="s">
        <v>32</v>
      </c>
      <c r="F25" s="7">
        <v>422574</v>
      </c>
      <c r="G25" s="7">
        <v>2515825</v>
      </c>
      <c r="H25" s="7">
        <v>93373</v>
      </c>
      <c r="I25" s="7">
        <v>37668</v>
      </c>
      <c r="J25" s="7">
        <v>3262312.2474209359</v>
      </c>
      <c r="K25" s="8"/>
      <c r="L25" s="8"/>
      <c r="M25" s="9"/>
      <c r="N25" s="9"/>
    </row>
    <row r="26" spans="2:14" x14ac:dyDescent="0.2">
      <c r="B26" s="5">
        <v>19</v>
      </c>
      <c r="C26" s="5" t="s">
        <v>33</v>
      </c>
      <c r="D26" s="6" t="str">
        <f t="shared" si="0"/>
        <v>resumen_montos_facturados_TD_AR_CDpRGL_2410def.xlsx</v>
      </c>
      <c r="E26" s="5" t="s">
        <v>33</v>
      </c>
      <c r="F26" s="7">
        <v>1033516</v>
      </c>
      <c r="G26" s="7">
        <v>1899168</v>
      </c>
      <c r="H26" s="7">
        <v>102954</v>
      </c>
      <c r="I26" s="7">
        <v>6473</v>
      </c>
      <c r="J26" s="7">
        <v>4719941.5691254111</v>
      </c>
      <c r="K26" s="8"/>
      <c r="L26" s="8"/>
      <c r="M26" s="9"/>
      <c r="N26" s="9"/>
    </row>
    <row r="27" spans="2:14" x14ac:dyDescent="0.2">
      <c r="B27" s="5">
        <v>20</v>
      </c>
      <c r="C27" s="5" t="s">
        <v>34</v>
      </c>
      <c r="D27" s="6" t="str">
        <f t="shared" si="0"/>
        <v>resumen_montos_facturados_TD_AR_CDpRGL_2410def.xlsx</v>
      </c>
      <c r="E27" s="5" t="s">
        <v>34</v>
      </c>
      <c r="F27" s="7">
        <v>1232712</v>
      </c>
      <c r="G27" s="7">
        <v>6789432</v>
      </c>
      <c r="H27" s="7">
        <v>267955</v>
      </c>
      <c r="I27" s="7">
        <v>76826</v>
      </c>
      <c r="J27" s="7">
        <v>12957134.000373039</v>
      </c>
      <c r="K27" s="8"/>
      <c r="L27" s="8"/>
      <c r="M27" s="9"/>
      <c r="N27" s="9"/>
    </row>
    <row r="28" spans="2:14" x14ac:dyDescent="0.2">
      <c r="B28" s="5">
        <v>21</v>
      </c>
      <c r="C28" s="5" t="s">
        <v>35</v>
      </c>
      <c r="D28" s="6" t="str">
        <f t="shared" si="0"/>
        <v>resumen_montos_facturados_TD_AR_CDpRGL_2410def.xlsx</v>
      </c>
      <c r="E28" s="5" t="s">
        <v>35</v>
      </c>
      <c r="F28" s="7">
        <v>18146722.66</v>
      </c>
      <c r="G28" s="7">
        <v>65344272.25</v>
      </c>
      <c r="H28" s="7">
        <v>283367.23</v>
      </c>
      <c r="I28" s="7">
        <v>110007.8</v>
      </c>
      <c r="J28" s="7">
        <v>151768695.92656389</v>
      </c>
      <c r="K28" s="8"/>
      <c r="L28" s="8"/>
      <c r="M28" s="9"/>
      <c r="N28" s="9"/>
    </row>
    <row r="29" spans="2:14" x14ac:dyDescent="0.2">
      <c r="B29" s="5">
        <v>22</v>
      </c>
      <c r="C29" s="5" t="s">
        <v>36</v>
      </c>
      <c r="D29" s="6" t="str">
        <f t="shared" si="0"/>
        <v>resumen_montos_facturados_TD_AR_CDpRGL_2410def.xlsx</v>
      </c>
      <c r="E29" s="5" t="s">
        <v>36</v>
      </c>
      <c r="F29" s="7">
        <v>7623977.3300000001</v>
      </c>
      <c r="G29" s="7">
        <v>6686820.3399999999</v>
      </c>
      <c r="H29" s="7">
        <v>128632</v>
      </c>
      <c r="I29" s="7">
        <v>6261</v>
      </c>
      <c r="J29" s="7">
        <v>23673352.040793009</v>
      </c>
      <c r="K29" s="8"/>
      <c r="L29" s="8"/>
      <c r="M29" s="9"/>
      <c r="N29" s="9"/>
    </row>
    <row r="30" spans="2:14" x14ac:dyDescent="0.2">
      <c r="B30" s="5">
        <v>23</v>
      </c>
      <c r="C30" s="5" t="s">
        <v>37</v>
      </c>
      <c r="D30" s="6" t="str">
        <f t="shared" si="0"/>
        <v>resumen_montos_facturados_TD_AR_CDpRGL_2410def.xlsx</v>
      </c>
      <c r="E30" s="5" t="s">
        <v>37</v>
      </c>
      <c r="F30" s="7">
        <v>39086898.990000002</v>
      </c>
      <c r="G30" s="7">
        <v>116325295.42</v>
      </c>
      <c r="H30" s="7">
        <v>139457.94</v>
      </c>
      <c r="I30" s="7">
        <v>133164.53</v>
      </c>
      <c r="J30" s="7">
        <v>264583071.49882501</v>
      </c>
      <c r="K30" s="8"/>
      <c r="L30" s="8"/>
      <c r="M30" s="9"/>
      <c r="N30" s="9"/>
    </row>
    <row r="31" spans="2:14" x14ac:dyDescent="0.2">
      <c r="B31" s="5">
        <v>24</v>
      </c>
      <c r="C31" s="5" t="s">
        <v>38</v>
      </c>
      <c r="D31" s="6" t="str">
        <f t="shared" si="0"/>
        <v>resumen_montos_facturados_TD_AR_CDpRGL_2410def.xlsx</v>
      </c>
      <c r="E31" s="5" t="s">
        <v>38</v>
      </c>
      <c r="F31" s="7">
        <v>1633663</v>
      </c>
      <c r="G31" s="7">
        <v>2991038</v>
      </c>
      <c r="H31" s="7">
        <v>29315</v>
      </c>
      <c r="I31" s="7">
        <v>38586</v>
      </c>
      <c r="J31" s="7">
        <v>7567676.0559189012</v>
      </c>
      <c r="K31" s="8"/>
      <c r="L31" s="8"/>
      <c r="M31" s="9"/>
      <c r="N31" s="9"/>
    </row>
    <row r="32" spans="2:14" x14ac:dyDescent="0.2">
      <c r="B32" s="5">
        <v>25</v>
      </c>
      <c r="C32" s="5" t="s">
        <v>39</v>
      </c>
      <c r="D32" s="6" t="str">
        <f t="shared" si="0"/>
        <v>resumen_montos_facturados_TD_AR_CDpRGL_2410def.xlsx</v>
      </c>
      <c r="E32" s="5" t="s">
        <v>39</v>
      </c>
      <c r="F32" s="7">
        <v>32427172.100000001</v>
      </c>
      <c r="G32" s="7">
        <v>132226811.75320999</v>
      </c>
      <c r="H32" s="7">
        <v>2256334.4</v>
      </c>
      <c r="I32" s="7">
        <v>621627.5</v>
      </c>
      <c r="J32" s="7">
        <v>303529504.76281393</v>
      </c>
      <c r="K32" s="8"/>
      <c r="L32" s="8"/>
      <c r="M32" s="9"/>
      <c r="N32" s="9"/>
    </row>
    <row r="33" spans="2:14" x14ac:dyDescent="0.2">
      <c r="B33" s="5">
        <v>26</v>
      </c>
      <c r="C33" s="5" t="s">
        <v>40</v>
      </c>
      <c r="D33" s="6" t="str">
        <f t="shared" si="0"/>
        <v>resumen_montos_facturados_TD_AR_CDpRGL_2410def.xlsx</v>
      </c>
      <c r="E33" s="5" t="s">
        <v>40</v>
      </c>
      <c r="F33" s="7">
        <v>1140659.8</v>
      </c>
      <c r="G33" s="7">
        <v>2185959.2999999998</v>
      </c>
      <c r="H33" s="7">
        <v>68454</v>
      </c>
      <c r="I33" s="7">
        <v>105087</v>
      </c>
      <c r="J33" s="7">
        <v>5078492.8451363351</v>
      </c>
      <c r="K33" s="8"/>
      <c r="L33" s="8"/>
      <c r="M33" s="9"/>
      <c r="N33" s="9"/>
    </row>
    <row r="34" spans="2:14" x14ac:dyDescent="0.2">
      <c r="B34" s="5">
        <v>27</v>
      </c>
      <c r="C34" s="5" t="s">
        <v>41</v>
      </c>
      <c r="D34" s="6" t="str">
        <f t="shared" si="0"/>
        <v>resumen_montos_facturados_TD_AR_CDpRGL_2410def.xlsx</v>
      </c>
      <c r="E34" s="5" t="s">
        <v>41</v>
      </c>
      <c r="F34" s="7">
        <v>1292871.5</v>
      </c>
      <c r="G34" s="7">
        <v>9543185.6530000009</v>
      </c>
      <c r="H34" s="7">
        <v>11389</v>
      </c>
      <c r="I34" s="7">
        <v>38559</v>
      </c>
      <c r="J34" s="7">
        <v>17577212.40440654</v>
      </c>
      <c r="K34" s="8"/>
      <c r="L34" s="8"/>
      <c r="M34" s="9"/>
      <c r="N34" s="9"/>
    </row>
    <row r="35" spans="2:14" x14ac:dyDescent="0.2">
      <c r="B35" s="5">
        <v>28</v>
      </c>
      <c r="C35" s="5" t="s">
        <v>42</v>
      </c>
      <c r="D35" s="6" t="str">
        <f t="shared" si="0"/>
        <v>resumen_montos_facturados_TD_AR_CDpRGL_2410def.xlsx</v>
      </c>
      <c r="E35" s="5" t="s">
        <v>42</v>
      </c>
      <c r="F35" s="7">
        <v>2279830.2000000002</v>
      </c>
      <c r="G35" s="7">
        <v>5982451.7654999997</v>
      </c>
      <c r="H35" s="7">
        <v>235307</v>
      </c>
      <c r="I35" s="7">
        <v>43330.176800000001</v>
      </c>
      <c r="J35" s="7">
        <v>13575743.044681501</v>
      </c>
      <c r="K35" s="8"/>
      <c r="L35" s="8"/>
      <c r="M35" s="9"/>
      <c r="N35" s="9"/>
    </row>
    <row r="36" spans="2:14" x14ac:dyDescent="0.2">
      <c r="B36" s="5">
        <v>29</v>
      </c>
      <c r="C36" s="5" t="s">
        <v>43</v>
      </c>
      <c r="D36" s="6" t="str">
        <f t="shared" si="0"/>
        <v>resumen_montos_facturados_TD_AR_CDpRGL_2410def.xlsx</v>
      </c>
      <c r="E36" s="5" t="s">
        <v>43</v>
      </c>
      <c r="F36" s="7">
        <v>1736762.9001</v>
      </c>
      <c r="G36" s="7">
        <v>4296663.1634999998</v>
      </c>
      <c r="H36" s="7">
        <v>316227.20000000001</v>
      </c>
      <c r="I36" s="7">
        <v>72725.100000000006</v>
      </c>
      <c r="J36" s="7">
        <v>9673274.9943832699</v>
      </c>
      <c r="K36" s="8"/>
      <c r="L36" s="8"/>
      <c r="M36" s="9"/>
      <c r="N36" s="9"/>
    </row>
    <row r="37" spans="2:14" x14ac:dyDescent="0.2">
      <c r="B37" s="5">
        <v>30</v>
      </c>
      <c r="C37" s="5" t="s">
        <v>44</v>
      </c>
      <c r="D37" s="6" t="str">
        <f t="shared" si="0"/>
        <v>resumen_montos_facturados_TD_AR_CDpRGL_2410def.xlsx</v>
      </c>
      <c r="E37" s="5" t="s">
        <v>45</v>
      </c>
      <c r="F37" s="7">
        <v>500440.00000000012</v>
      </c>
      <c r="G37" s="7">
        <v>824926</v>
      </c>
      <c r="H37" s="7">
        <v>31694</v>
      </c>
      <c r="I37" s="7">
        <v>11501</v>
      </c>
      <c r="J37" s="7">
        <v>2766405.8894783412</v>
      </c>
      <c r="K37" s="8"/>
      <c r="L37" s="8"/>
      <c r="M37" s="9"/>
      <c r="N37" s="9"/>
    </row>
    <row r="38" spans="2:14" x14ac:dyDescent="0.2">
      <c r="B38" s="5">
        <v>31</v>
      </c>
      <c r="C38" s="5" t="s">
        <v>46</v>
      </c>
      <c r="D38" s="6" t="str">
        <f t="shared" si="0"/>
        <v>resumen_montos_facturados_TD_AR_CDpRGL_2410def.xlsx</v>
      </c>
      <c r="E38" s="5" t="s">
        <v>46</v>
      </c>
      <c r="F38" s="7">
        <v>4050077.4360000002</v>
      </c>
      <c r="G38" s="7">
        <v>16871536.622000001</v>
      </c>
      <c r="H38" s="7">
        <v>3639.0010000000002</v>
      </c>
      <c r="I38" s="7">
        <v>27289.016</v>
      </c>
      <c r="J38" s="7">
        <v>38834575.939840592</v>
      </c>
      <c r="K38" s="8"/>
      <c r="L38" s="8"/>
      <c r="M38" s="9"/>
      <c r="N38" s="9"/>
    </row>
    <row r="39" spans="2:14" x14ac:dyDescent="0.2">
      <c r="B39" s="5">
        <v>32</v>
      </c>
      <c r="C39" s="5" t="s">
        <v>47</v>
      </c>
      <c r="D39" s="6" t="str">
        <f t="shared" si="0"/>
        <v>resumen_montos_facturados_TD_AR_CDpRGL_2410def.xlsx</v>
      </c>
      <c r="E39" s="5" t="s">
        <v>47</v>
      </c>
      <c r="F39" s="7">
        <v>5965058.4289999995</v>
      </c>
      <c r="G39" s="7">
        <v>26994305.197000001</v>
      </c>
      <c r="H39" s="7">
        <v>14725.08</v>
      </c>
      <c r="I39" s="7">
        <v>23232.508000000002</v>
      </c>
      <c r="J39" s="7">
        <v>62226273.817187749</v>
      </c>
      <c r="K39" s="8"/>
      <c r="L39" s="8"/>
      <c r="M39" s="9"/>
      <c r="N39" s="9"/>
    </row>
    <row r="40" spans="2:14" x14ac:dyDescent="0.2">
      <c r="B40" s="5">
        <v>33</v>
      </c>
      <c r="C40" s="5" t="s">
        <v>48</v>
      </c>
      <c r="D40" s="6" t="str">
        <f t="shared" si="0"/>
        <v>resumen_montos_facturados_TD_AR_CDpRGL_2410def.xlsx</v>
      </c>
      <c r="E40" s="5" t="s">
        <v>48</v>
      </c>
      <c r="F40" s="7">
        <v>13073514.904999999</v>
      </c>
      <c r="G40" s="7">
        <v>50157817.648999996</v>
      </c>
      <c r="H40" s="7">
        <v>30706.560000000001</v>
      </c>
      <c r="I40" s="7">
        <v>72807.678</v>
      </c>
      <c r="J40" s="7">
        <v>122246360.3368676</v>
      </c>
      <c r="K40" s="8"/>
      <c r="L40" s="8"/>
      <c r="M40" s="9"/>
      <c r="N40" s="9"/>
    </row>
    <row r="41" spans="2:14" x14ac:dyDescent="0.2">
      <c r="B41" s="5">
        <v>34</v>
      </c>
      <c r="C41" s="5" t="s">
        <v>49</v>
      </c>
      <c r="D41" s="6" t="str">
        <f t="shared" si="0"/>
        <v>resumen_montos_facturados_TD_AR_CDpRGL_2410def.xlsx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8"/>
      <c r="M41" s="9"/>
      <c r="N41" s="9"/>
    </row>
    <row r="42" spans="2:14" x14ac:dyDescent="0.2">
      <c r="B42" s="5">
        <v>35</v>
      </c>
      <c r="C42" s="5" t="s">
        <v>50</v>
      </c>
      <c r="D42" s="6" t="str">
        <f t="shared" si="0"/>
        <v>resumen_montos_facturados_TD_AR_CDpRGL_2410def.xlsx</v>
      </c>
      <c r="E42" s="5" t="s">
        <v>50</v>
      </c>
      <c r="F42" s="7">
        <v>0</v>
      </c>
      <c r="G42" s="7">
        <v>6319.3</v>
      </c>
      <c r="H42" s="7">
        <v>0</v>
      </c>
      <c r="I42" s="7">
        <v>0</v>
      </c>
      <c r="J42" s="7">
        <v>11065.157682579</v>
      </c>
      <c r="K42" s="8"/>
      <c r="L42" s="8"/>
      <c r="M42" s="9"/>
      <c r="N42" s="9"/>
    </row>
    <row r="43" spans="2:14" x14ac:dyDescent="0.2">
      <c r="B43" s="5">
        <v>36</v>
      </c>
      <c r="C43" s="5" t="s">
        <v>51</v>
      </c>
      <c r="D43" s="6" t="str">
        <f t="shared" si="0"/>
        <v>resumen_montos_facturados_TD_AR_CDpRGL_2410def.xlsx</v>
      </c>
      <c r="E43" s="5" t="s">
        <v>51</v>
      </c>
      <c r="F43" s="7">
        <v>30000.9</v>
      </c>
      <c r="G43" s="7">
        <v>49706.2</v>
      </c>
      <c r="H43" s="7">
        <v>0</v>
      </c>
      <c r="I43" s="7">
        <v>0</v>
      </c>
      <c r="J43" s="7">
        <v>135448.30084711089</v>
      </c>
      <c r="K43" s="8"/>
      <c r="L43" s="8"/>
      <c r="M43" s="9"/>
      <c r="N43" s="9"/>
    </row>
    <row r="44" spans="2:14" x14ac:dyDescent="0.2">
      <c r="B44" s="10" t="s">
        <v>52</v>
      </c>
      <c r="C44" s="11"/>
      <c r="D44" s="11"/>
      <c r="E44" s="12"/>
      <c r="F44" s="13">
        <f>SUM(F8:F43)</f>
        <v>418782840.21509999</v>
      </c>
      <c r="G44" s="13">
        <f>SUM(G8:G43)</f>
        <v>1652358746.58022</v>
      </c>
      <c r="H44" s="13">
        <f>SUM(H8:H43)</f>
        <v>12864231.053000001</v>
      </c>
      <c r="I44" s="13">
        <f>SUM(I8:I43)</f>
        <v>4578213.0927999998</v>
      </c>
      <c r="J44" s="13">
        <f>SUM(J8:J43)</f>
        <v>131818184.24724601</v>
      </c>
      <c r="K44" s="8"/>
      <c r="L44" s="8"/>
      <c r="M44" s="9"/>
      <c r="N44" s="9"/>
    </row>
    <row r="45" spans="2:14" x14ac:dyDescent="0.2">
      <c r="M45" s="9"/>
      <c r="N45" s="9"/>
    </row>
  </sheetData>
  <mergeCells count="6">
    <mergeCell ref="E2:F2"/>
    <mergeCell ref="B3:C3"/>
    <mergeCell ref="B6:B7"/>
    <mergeCell ref="C6:C7"/>
    <mergeCell ref="D6:D7"/>
    <mergeCell ref="E6:E7"/>
  </mergeCells>
  <dataValidations count="1">
    <dataValidation type="list" showInputMessage="1" showErrorMessage="1" sqref="G2" xr:uid="{62AF56D7-A228-4A78-8B28-798F6547CF1D}">
      <formula1>"pre,def"</formula1>
    </dataValidation>
  </dataValidations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5150-5F4B-4BF7-A46C-3833C691198A}">
  <sheetPr codeName="Hoja5">
    <tabColor theme="0"/>
  </sheetPr>
  <dimension ref="B2:N45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6.5703125" customWidth="1"/>
    <col min="6" max="7" width="13.140625" customWidth="1"/>
    <col min="8" max="8" width="14.5703125" customWidth="1"/>
    <col min="9" max="9" width="9.5703125" bestFit="1" customWidth="1"/>
    <col min="10" max="10" width="14" customWidth="1"/>
  </cols>
  <sheetData>
    <row r="2" spans="2:14" x14ac:dyDescent="0.2">
      <c r="B2" s="1" t="s">
        <v>0</v>
      </c>
      <c r="D2" s="1"/>
      <c r="E2" s="97" t="s">
        <v>1</v>
      </c>
      <c r="F2" s="97"/>
      <c r="G2" s="2" t="s">
        <v>2</v>
      </c>
    </row>
    <row r="3" spans="2:14" x14ac:dyDescent="0.2">
      <c r="B3" s="98">
        <v>45566</v>
      </c>
      <c r="C3" s="98"/>
      <c r="D3" s="3"/>
    </row>
    <row r="4" spans="2:14" x14ac:dyDescent="0.2">
      <c r="B4" s="1"/>
    </row>
    <row r="6" spans="2:14" x14ac:dyDescent="0.2">
      <c r="B6" s="99" t="s">
        <v>3</v>
      </c>
      <c r="C6" s="99" t="s">
        <v>4</v>
      </c>
      <c r="D6" s="99" t="s">
        <v>5</v>
      </c>
      <c r="E6" s="99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53</v>
      </c>
    </row>
    <row r="7" spans="2:14" x14ac:dyDescent="0.2">
      <c r="B7" s="99"/>
      <c r="C7" s="99"/>
      <c r="D7" s="99"/>
      <c r="E7" s="99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  <c r="M7" s="14"/>
      <c r="N7" s="14"/>
    </row>
    <row r="8" spans="2:14" x14ac:dyDescent="0.2">
      <c r="B8" s="5">
        <v>1</v>
      </c>
      <c r="C8" s="5" t="s">
        <v>14</v>
      </c>
      <c r="D8" s="6" t="s">
        <v>97</v>
      </c>
      <c r="E8" s="5" t="s">
        <v>14</v>
      </c>
      <c r="F8" s="7">
        <v>1369056</v>
      </c>
      <c r="G8" s="7">
        <v>3036897</v>
      </c>
      <c r="H8" s="7">
        <v>145180</v>
      </c>
      <c r="I8" s="7">
        <v>29987</v>
      </c>
      <c r="J8" s="7">
        <v>0</v>
      </c>
      <c r="K8" s="8"/>
      <c r="L8" s="9"/>
      <c r="M8" s="9"/>
    </row>
    <row r="9" spans="2:14" x14ac:dyDescent="0.2">
      <c r="B9" s="5">
        <v>2</v>
      </c>
      <c r="C9" s="5" t="s">
        <v>15</v>
      </c>
      <c r="D9" s="6" t="s">
        <v>97</v>
      </c>
      <c r="E9" s="5" t="s">
        <v>15</v>
      </c>
      <c r="F9" s="7">
        <v>736444</v>
      </c>
      <c r="G9" s="7">
        <v>2954329</v>
      </c>
      <c r="H9" s="7">
        <v>1383</v>
      </c>
      <c r="I9" s="7">
        <v>30387</v>
      </c>
      <c r="J9" s="7">
        <v>0</v>
      </c>
      <c r="K9" s="8"/>
      <c r="L9" s="9"/>
      <c r="M9" s="9"/>
    </row>
    <row r="10" spans="2:14" x14ac:dyDescent="0.2">
      <c r="B10" s="5">
        <v>3</v>
      </c>
      <c r="C10" s="5" t="s">
        <v>16</v>
      </c>
      <c r="D10" s="6" t="s">
        <v>97</v>
      </c>
      <c r="E10" s="5" t="s">
        <v>16</v>
      </c>
      <c r="F10" s="7">
        <v>1805683.4</v>
      </c>
      <c r="G10" s="7">
        <v>5971293.3500100002</v>
      </c>
      <c r="H10" s="7">
        <v>0</v>
      </c>
      <c r="I10" s="7">
        <v>13086.6</v>
      </c>
      <c r="J10" s="7">
        <v>0</v>
      </c>
      <c r="K10" s="8"/>
      <c r="L10" s="9"/>
      <c r="M10" s="9"/>
    </row>
    <row r="11" spans="2:14" x14ac:dyDescent="0.2">
      <c r="B11" s="5">
        <v>4</v>
      </c>
      <c r="C11" s="5" t="s">
        <v>17</v>
      </c>
      <c r="D11" s="6" t="s">
        <v>97</v>
      </c>
      <c r="E11" s="5" t="s">
        <v>17</v>
      </c>
      <c r="F11" s="7">
        <v>407838</v>
      </c>
      <c r="G11" s="7">
        <v>1342341</v>
      </c>
      <c r="H11" s="7">
        <v>0</v>
      </c>
      <c r="I11" s="7">
        <v>0</v>
      </c>
      <c r="J11" s="7">
        <v>0</v>
      </c>
      <c r="K11" s="8"/>
      <c r="L11" s="9"/>
      <c r="M11" s="9"/>
    </row>
    <row r="12" spans="2:14" x14ac:dyDescent="0.2">
      <c r="B12" s="5">
        <v>5</v>
      </c>
      <c r="C12" s="5" t="s">
        <v>18</v>
      </c>
      <c r="D12" s="6" t="s">
        <v>97</v>
      </c>
      <c r="E12" s="5" t="s">
        <v>18</v>
      </c>
      <c r="F12" s="7">
        <v>129685529.675</v>
      </c>
      <c r="G12" s="7">
        <v>463007299.80900002</v>
      </c>
      <c r="H12" s="7">
        <v>5592286.5279999999</v>
      </c>
      <c r="I12" s="7">
        <v>1342583.72</v>
      </c>
      <c r="J12" s="7">
        <v>552778.64538293437</v>
      </c>
      <c r="K12" s="8"/>
      <c r="L12" s="9"/>
      <c r="M12" s="9"/>
    </row>
    <row r="13" spans="2:14" x14ac:dyDescent="0.2">
      <c r="B13" s="5">
        <v>6</v>
      </c>
      <c r="C13" s="5" t="s">
        <v>19</v>
      </c>
      <c r="D13" s="6" t="s">
        <v>97</v>
      </c>
      <c r="E13" s="5" t="s">
        <v>20</v>
      </c>
      <c r="F13" s="7">
        <v>233278</v>
      </c>
      <c r="G13" s="7">
        <v>913327.00399999996</v>
      </c>
      <c r="H13" s="7">
        <v>0</v>
      </c>
      <c r="I13" s="7">
        <v>0</v>
      </c>
      <c r="J13" s="7">
        <v>0</v>
      </c>
      <c r="K13" s="8"/>
      <c r="L13" s="9"/>
      <c r="M13" s="9"/>
    </row>
    <row r="14" spans="2:14" x14ac:dyDescent="0.2">
      <c r="B14" s="5">
        <v>7</v>
      </c>
      <c r="C14" s="5" t="s">
        <v>21</v>
      </c>
      <c r="D14" s="6" t="s">
        <v>97</v>
      </c>
      <c r="E14" s="5" t="s">
        <v>21</v>
      </c>
      <c r="F14" s="7">
        <v>10262916.464</v>
      </c>
      <c r="G14" s="7">
        <v>20625852.081</v>
      </c>
      <c r="H14" s="7">
        <v>749459.40300000005</v>
      </c>
      <c r="I14" s="7">
        <v>73566.923999999999</v>
      </c>
      <c r="J14" s="7">
        <v>1258.473131636998</v>
      </c>
      <c r="K14" s="8"/>
      <c r="L14" s="9"/>
      <c r="M14" s="9"/>
    </row>
    <row r="15" spans="2:14" x14ac:dyDescent="0.2">
      <c r="B15" s="5">
        <v>8</v>
      </c>
      <c r="C15" s="5" t="s">
        <v>22</v>
      </c>
      <c r="D15" s="6" t="s">
        <v>97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9"/>
      <c r="M15" s="9"/>
    </row>
    <row r="16" spans="2:14" x14ac:dyDescent="0.2">
      <c r="B16" s="5">
        <v>9</v>
      </c>
      <c r="C16" s="5" t="s">
        <v>23</v>
      </c>
      <c r="D16" s="6" t="s">
        <v>97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9"/>
      <c r="M16" s="9"/>
    </row>
    <row r="17" spans="2:13" x14ac:dyDescent="0.2">
      <c r="B17" s="5">
        <v>10</v>
      </c>
      <c r="C17" s="5" t="s">
        <v>24</v>
      </c>
      <c r="D17" s="6" t="s">
        <v>97</v>
      </c>
      <c r="E17" s="5" t="s">
        <v>24</v>
      </c>
      <c r="F17" s="7">
        <v>99612592.739000008</v>
      </c>
      <c r="G17" s="7">
        <v>577285819.03400004</v>
      </c>
      <c r="H17" s="7">
        <v>535261</v>
      </c>
      <c r="I17" s="7">
        <v>1262498.5719999999</v>
      </c>
      <c r="J17" s="7">
        <v>1733431.398141366</v>
      </c>
      <c r="K17" s="8"/>
      <c r="L17" s="9"/>
      <c r="M17" s="9"/>
    </row>
    <row r="18" spans="2:13" x14ac:dyDescent="0.2">
      <c r="B18" s="5">
        <v>11</v>
      </c>
      <c r="C18" s="5" t="s">
        <v>25</v>
      </c>
      <c r="D18" s="6" t="s">
        <v>97</v>
      </c>
      <c r="E18" s="5" t="s">
        <v>25</v>
      </c>
      <c r="F18" s="7">
        <v>124916</v>
      </c>
      <c r="G18" s="7">
        <v>2350374.5529999998</v>
      </c>
      <c r="H18" s="7">
        <v>0</v>
      </c>
      <c r="I18" s="7">
        <v>17249</v>
      </c>
      <c r="J18" s="7">
        <v>0</v>
      </c>
      <c r="K18" s="8"/>
      <c r="L18" s="9"/>
      <c r="M18" s="9"/>
    </row>
    <row r="19" spans="2:13" x14ac:dyDescent="0.2">
      <c r="B19" s="5">
        <v>12</v>
      </c>
      <c r="C19" s="5" t="s">
        <v>26</v>
      </c>
      <c r="D19" s="6" t="s">
        <v>97</v>
      </c>
      <c r="E19" s="5" t="s">
        <v>26</v>
      </c>
      <c r="F19" s="7">
        <v>32570199.870000001</v>
      </c>
      <c r="G19" s="7">
        <v>70264417.353</v>
      </c>
      <c r="H19" s="7">
        <v>1138181.7109999999</v>
      </c>
      <c r="I19" s="7">
        <v>170381.96400000001</v>
      </c>
      <c r="J19" s="7">
        <v>-142889.0087688354</v>
      </c>
      <c r="K19" s="8"/>
      <c r="L19" s="9"/>
      <c r="M19" s="9"/>
    </row>
    <row r="20" spans="2:13" x14ac:dyDescent="0.2">
      <c r="B20" s="5">
        <v>13</v>
      </c>
      <c r="C20" s="5" t="s">
        <v>27</v>
      </c>
      <c r="D20" s="6" t="s">
        <v>97</v>
      </c>
      <c r="E20" s="5" t="s">
        <v>27</v>
      </c>
      <c r="F20" s="7">
        <v>3244522.9169999999</v>
      </c>
      <c r="G20" s="7">
        <v>18023899.783</v>
      </c>
      <c r="H20" s="7">
        <v>0</v>
      </c>
      <c r="I20" s="7">
        <v>16943.004000000001</v>
      </c>
      <c r="J20" s="7">
        <v>49612.238702949981</v>
      </c>
      <c r="K20" s="8"/>
      <c r="L20" s="9"/>
      <c r="M20" s="9"/>
    </row>
    <row r="21" spans="2:13" x14ac:dyDescent="0.2">
      <c r="B21" s="5">
        <v>14</v>
      </c>
      <c r="C21" s="5" t="s">
        <v>28</v>
      </c>
      <c r="D21" s="6" t="s">
        <v>97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9"/>
      <c r="M21" s="9"/>
    </row>
    <row r="22" spans="2:13" x14ac:dyDescent="0.2">
      <c r="B22" s="5">
        <v>15</v>
      </c>
      <c r="C22" s="5" t="s">
        <v>29</v>
      </c>
      <c r="D22" s="6" t="s">
        <v>97</v>
      </c>
      <c r="E22" s="5" t="s">
        <v>29</v>
      </c>
      <c r="F22" s="7">
        <v>1337677</v>
      </c>
      <c r="G22" s="7">
        <v>7924621</v>
      </c>
      <c r="H22" s="7">
        <v>880</v>
      </c>
      <c r="I22" s="7">
        <v>17333</v>
      </c>
      <c r="J22" s="7">
        <v>0</v>
      </c>
      <c r="K22" s="8"/>
      <c r="L22" s="9"/>
      <c r="M22" s="9"/>
    </row>
    <row r="23" spans="2:13" x14ac:dyDescent="0.2">
      <c r="B23" s="5">
        <v>16</v>
      </c>
      <c r="C23" s="5" t="s">
        <v>30</v>
      </c>
      <c r="D23" s="6" t="s">
        <v>97</v>
      </c>
      <c r="E23" s="5" t="s">
        <v>30</v>
      </c>
      <c r="F23" s="7">
        <v>4035448</v>
      </c>
      <c r="G23" s="7">
        <v>13663454</v>
      </c>
      <c r="H23" s="7">
        <v>687984</v>
      </c>
      <c r="I23" s="7">
        <v>116064</v>
      </c>
      <c r="J23" s="7">
        <v>0</v>
      </c>
      <c r="K23" s="8"/>
      <c r="L23" s="9"/>
      <c r="M23" s="9"/>
    </row>
    <row r="24" spans="2:13" x14ac:dyDescent="0.2">
      <c r="B24" s="5">
        <v>17</v>
      </c>
      <c r="C24" s="5" t="s">
        <v>31</v>
      </c>
      <c r="D24" s="6" t="s">
        <v>97</v>
      </c>
      <c r="E24" s="5" t="s">
        <v>31</v>
      </c>
      <c r="F24" s="7">
        <v>1680286</v>
      </c>
      <c r="G24" s="7">
        <v>13303288</v>
      </c>
      <c r="H24" s="7">
        <v>85</v>
      </c>
      <c r="I24" s="7">
        <v>62987</v>
      </c>
      <c r="J24" s="7">
        <v>0</v>
      </c>
      <c r="K24" s="8"/>
      <c r="L24" s="9"/>
      <c r="M24" s="9"/>
    </row>
    <row r="25" spans="2:13" x14ac:dyDescent="0.2">
      <c r="B25" s="5">
        <v>18</v>
      </c>
      <c r="C25" s="5" t="s">
        <v>32</v>
      </c>
      <c r="D25" s="6" t="s">
        <v>97</v>
      </c>
      <c r="E25" s="5" t="s">
        <v>32</v>
      </c>
      <c r="F25" s="7">
        <v>422574</v>
      </c>
      <c r="G25" s="7">
        <v>2515825</v>
      </c>
      <c r="H25" s="7">
        <v>93373</v>
      </c>
      <c r="I25" s="7">
        <v>37668</v>
      </c>
      <c r="J25" s="7">
        <v>0</v>
      </c>
      <c r="K25" s="8"/>
      <c r="L25" s="9"/>
      <c r="M25" s="9"/>
    </row>
    <row r="26" spans="2:13" x14ac:dyDescent="0.2">
      <c r="B26" s="5">
        <v>19</v>
      </c>
      <c r="C26" s="5" t="s">
        <v>33</v>
      </c>
      <c r="D26" s="6" t="s">
        <v>97</v>
      </c>
      <c r="E26" s="5" t="s">
        <v>33</v>
      </c>
      <c r="F26" s="7">
        <v>1033516</v>
      </c>
      <c r="G26" s="7">
        <v>1899168</v>
      </c>
      <c r="H26" s="7">
        <v>102954</v>
      </c>
      <c r="I26" s="7">
        <v>6473</v>
      </c>
      <c r="J26" s="7">
        <v>0</v>
      </c>
      <c r="K26" s="8"/>
      <c r="L26" s="9"/>
      <c r="M26" s="9"/>
    </row>
    <row r="27" spans="2:13" x14ac:dyDescent="0.2">
      <c r="B27" s="5">
        <v>20</v>
      </c>
      <c r="C27" s="5" t="s">
        <v>34</v>
      </c>
      <c r="D27" s="6" t="s">
        <v>97</v>
      </c>
      <c r="E27" s="5" t="s">
        <v>34</v>
      </c>
      <c r="F27" s="7">
        <v>1232712</v>
      </c>
      <c r="G27" s="7">
        <v>6789432</v>
      </c>
      <c r="H27" s="7">
        <v>267955</v>
      </c>
      <c r="I27" s="7">
        <v>76826</v>
      </c>
      <c r="J27" s="7">
        <v>0</v>
      </c>
      <c r="K27" s="8"/>
      <c r="L27" s="9"/>
      <c r="M27" s="9"/>
    </row>
    <row r="28" spans="2:13" x14ac:dyDescent="0.2">
      <c r="B28" s="5">
        <v>21</v>
      </c>
      <c r="C28" s="5" t="s">
        <v>35</v>
      </c>
      <c r="D28" s="6" t="s">
        <v>97</v>
      </c>
      <c r="E28" s="5" t="s">
        <v>35</v>
      </c>
      <c r="F28" s="7">
        <v>18146722.66</v>
      </c>
      <c r="G28" s="7">
        <v>65344272.25</v>
      </c>
      <c r="H28" s="7">
        <v>283367.23</v>
      </c>
      <c r="I28" s="7">
        <v>110007.8</v>
      </c>
      <c r="J28" s="7">
        <v>0</v>
      </c>
      <c r="K28" s="8"/>
      <c r="L28" s="9"/>
      <c r="M28" s="9"/>
    </row>
    <row r="29" spans="2:13" x14ac:dyDescent="0.2">
      <c r="B29" s="5">
        <v>22</v>
      </c>
      <c r="C29" s="5" t="s">
        <v>36</v>
      </c>
      <c r="D29" s="6" t="s">
        <v>97</v>
      </c>
      <c r="E29" s="5" t="s">
        <v>36</v>
      </c>
      <c r="F29" s="7">
        <v>7623977.3300000001</v>
      </c>
      <c r="G29" s="7">
        <v>6686820.3399999999</v>
      </c>
      <c r="H29" s="7">
        <v>128632</v>
      </c>
      <c r="I29" s="7">
        <v>6261</v>
      </c>
      <c r="J29" s="7">
        <v>-1923.9684289628001</v>
      </c>
      <c r="K29" s="8"/>
      <c r="L29" s="9"/>
      <c r="M29" s="9"/>
    </row>
    <row r="30" spans="2:13" x14ac:dyDescent="0.2">
      <c r="B30" s="5">
        <v>23</v>
      </c>
      <c r="C30" s="5" t="s">
        <v>37</v>
      </c>
      <c r="D30" s="6" t="s">
        <v>97</v>
      </c>
      <c r="E30" s="5" t="s">
        <v>37</v>
      </c>
      <c r="F30" s="7">
        <v>39086898.990000002</v>
      </c>
      <c r="G30" s="7">
        <v>116325295.42</v>
      </c>
      <c r="H30" s="7">
        <v>139457.94</v>
      </c>
      <c r="I30" s="7">
        <v>133164.53</v>
      </c>
      <c r="J30" s="7">
        <v>0</v>
      </c>
      <c r="K30" s="8"/>
      <c r="L30" s="9"/>
      <c r="M30" s="9"/>
    </row>
    <row r="31" spans="2:13" x14ac:dyDescent="0.2">
      <c r="B31" s="5">
        <v>24</v>
      </c>
      <c r="C31" s="5" t="s">
        <v>38</v>
      </c>
      <c r="D31" s="6" t="s">
        <v>97</v>
      </c>
      <c r="E31" s="5" t="s">
        <v>38</v>
      </c>
      <c r="F31" s="7">
        <v>1633663</v>
      </c>
      <c r="G31" s="7">
        <v>2991038</v>
      </c>
      <c r="H31" s="7">
        <v>29315</v>
      </c>
      <c r="I31" s="7">
        <v>38586</v>
      </c>
      <c r="J31" s="7">
        <v>0</v>
      </c>
      <c r="K31" s="8"/>
      <c r="L31" s="9"/>
      <c r="M31" s="9"/>
    </row>
    <row r="32" spans="2:13" x14ac:dyDescent="0.2">
      <c r="B32" s="5">
        <v>25</v>
      </c>
      <c r="C32" s="5" t="s">
        <v>39</v>
      </c>
      <c r="D32" s="6" t="s">
        <v>97</v>
      </c>
      <c r="E32" s="5" t="s">
        <v>39</v>
      </c>
      <c r="F32" s="7">
        <v>32427172.100000001</v>
      </c>
      <c r="G32" s="7">
        <v>132226811.75320999</v>
      </c>
      <c r="H32" s="7">
        <v>2256334.4</v>
      </c>
      <c r="I32" s="7">
        <v>621627.5</v>
      </c>
      <c r="J32" s="7">
        <v>29852.734984517028</v>
      </c>
      <c r="K32" s="8"/>
      <c r="L32" s="9"/>
      <c r="M32" s="9"/>
    </row>
    <row r="33" spans="2:13" x14ac:dyDescent="0.2">
      <c r="B33" s="5">
        <v>26</v>
      </c>
      <c r="C33" s="5" t="s">
        <v>40</v>
      </c>
      <c r="D33" s="6" t="s">
        <v>97</v>
      </c>
      <c r="E33" s="5" t="s">
        <v>40</v>
      </c>
      <c r="F33" s="7">
        <v>1140659.8</v>
      </c>
      <c r="G33" s="7">
        <v>2185959.2999999998</v>
      </c>
      <c r="H33" s="7">
        <v>68454</v>
      </c>
      <c r="I33" s="7">
        <v>105087</v>
      </c>
      <c r="J33" s="7">
        <v>0</v>
      </c>
      <c r="K33" s="8"/>
      <c r="L33" s="9"/>
      <c r="M33" s="9"/>
    </row>
    <row r="34" spans="2:13" x14ac:dyDescent="0.2">
      <c r="B34" s="5">
        <v>27</v>
      </c>
      <c r="C34" s="5" t="s">
        <v>41</v>
      </c>
      <c r="D34" s="6" t="s">
        <v>97</v>
      </c>
      <c r="E34" s="5" t="s">
        <v>41</v>
      </c>
      <c r="F34" s="7">
        <v>1292871.5</v>
      </c>
      <c r="G34" s="7">
        <v>9543185.6530000009</v>
      </c>
      <c r="H34" s="7">
        <v>11389</v>
      </c>
      <c r="I34" s="7">
        <v>38559</v>
      </c>
      <c r="J34" s="7">
        <v>2519.3886355270879</v>
      </c>
      <c r="K34" s="8"/>
      <c r="L34" s="9"/>
      <c r="M34" s="9"/>
    </row>
    <row r="35" spans="2:13" x14ac:dyDescent="0.2">
      <c r="B35" s="5">
        <v>28</v>
      </c>
      <c r="C35" s="5" t="s">
        <v>42</v>
      </c>
      <c r="D35" s="6" t="s">
        <v>97</v>
      </c>
      <c r="E35" s="5" t="s">
        <v>42</v>
      </c>
      <c r="F35" s="7">
        <v>2279830.2000000002</v>
      </c>
      <c r="G35" s="7">
        <v>5982451.7654999997</v>
      </c>
      <c r="H35" s="7">
        <v>235307</v>
      </c>
      <c r="I35" s="7">
        <v>43330.176800000001</v>
      </c>
      <c r="J35" s="7">
        <v>5920.1833289214428</v>
      </c>
      <c r="K35" s="8"/>
      <c r="L35" s="9"/>
      <c r="M35" s="9"/>
    </row>
    <row r="36" spans="2:13" x14ac:dyDescent="0.2">
      <c r="B36" s="5">
        <v>29</v>
      </c>
      <c r="C36" s="5" t="s">
        <v>43</v>
      </c>
      <c r="D36" s="6" t="s">
        <v>97</v>
      </c>
      <c r="E36" s="5" t="s">
        <v>43</v>
      </c>
      <c r="F36" s="7">
        <v>1736762.9001</v>
      </c>
      <c r="G36" s="7">
        <v>4296663.1634999998</v>
      </c>
      <c r="H36" s="7">
        <v>316227.20000000001</v>
      </c>
      <c r="I36" s="7">
        <v>72725.100000000006</v>
      </c>
      <c r="J36" s="7">
        <v>4536.2823064509485</v>
      </c>
      <c r="K36" s="8"/>
      <c r="L36" s="9"/>
      <c r="M36" s="9"/>
    </row>
    <row r="37" spans="2:13" x14ac:dyDescent="0.2">
      <c r="B37" s="5">
        <v>30</v>
      </c>
      <c r="C37" s="5" t="s">
        <v>44</v>
      </c>
      <c r="D37" s="6" t="s">
        <v>97</v>
      </c>
      <c r="E37" s="5" t="s">
        <v>45</v>
      </c>
      <c r="F37" s="7">
        <v>500440.00000000012</v>
      </c>
      <c r="G37" s="7">
        <v>824926</v>
      </c>
      <c r="H37" s="7">
        <v>31694</v>
      </c>
      <c r="I37" s="7">
        <v>11501</v>
      </c>
      <c r="J37" s="7">
        <v>0</v>
      </c>
      <c r="K37" s="8"/>
      <c r="L37" s="9"/>
      <c r="M37" s="9"/>
    </row>
    <row r="38" spans="2:13" x14ac:dyDescent="0.2">
      <c r="B38" s="5">
        <v>31</v>
      </c>
      <c r="C38" s="5" t="s">
        <v>46</v>
      </c>
      <c r="D38" s="6" t="s">
        <v>97</v>
      </c>
      <c r="E38" s="5" t="s">
        <v>46</v>
      </c>
      <c r="F38" s="7">
        <v>4050077.4360000002</v>
      </c>
      <c r="G38" s="7">
        <v>16871536.622000001</v>
      </c>
      <c r="H38" s="7">
        <v>3639.0010000000002</v>
      </c>
      <c r="I38" s="7">
        <v>27289.016</v>
      </c>
      <c r="J38" s="7">
        <v>9552.5124682860696</v>
      </c>
      <c r="K38" s="8"/>
      <c r="L38" s="9"/>
      <c r="M38" s="9"/>
    </row>
    <row r="39" spans="2:13" x14ac:dyDescent="0.2">
      <c r="B39" s="5">
        <v>32</v>
      </c>
      <c r="C39" s="5" t="s">
        <v>47</v>
      </c>
      <c r="D39" s="6" t="s">
        <v>97</v>
      </c>
      <c r="E39" s="5" t="s">
        <v>47</v>
      </c>
      <c r="F39" s="7">
        <v>5965058.4289999995</v>
      </c>
      <c r="G39" s="7">
        <v>26994305.197000001</v>
      </c>
      <c r="H39" s="7">
        <v>14725.08</v>
      </c>
      <c r="I39" s="7">
        <v>23232.508000000002</v>
      </c>
      <c r="J39" s="7">
        <v>560926.52925470646</v>
      </c>
      <c r="K39" s="8"/>
      <c r="L39" s="9"/>
      <c r="M39" s="9"/>
    </row>
    <row r="40" spans="2:13" x14ac:dyDescent="0.2">
      <c r="B40" s="5">
        <v>33</v>
      </c>
      <c r="C40" s="5" t="s">
        <v>48</v>
      </c>
      <c r="D40" s="6" t="s">
        <v>97</v>
      </c>
      <c r="E40" s="5" t="s">
        <v>48</v>
      </c>
      <c r="F40" s="7">
        <v>13073514.904999999</v>
      </c>
      <c r="G40" s="7">
        <v>50157817.648999996</v>
      </c>
      <c r="H40" s="7">
        <v>30706.560000000001</v>
      </c>
      <c r="I40" s="7">
        <v>72807.678</v>
      </c>
      <c r="J40" s="7">
        <v>218139.25315505819</v>
      </c>
      <c r="K40" s="8"/>
      <c r="L40" s="9"/>
      <c r="M40" s="9"/>
    </row>
    <row r="41" spans="2:13" x14ac:dyDescent="0.2">
      <c r="B41" s="5">
        <v>34</v>
      </c>
      <c r="C41" s="5" t="s">
        <v>49</v>
      </c>
      <c r="D41" s="6" t="s">
        <v>97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9"/>
      <c r="M41" s="9"/>
    </row>
    <row r="42" spans="2:13" x14ac:dyDescent="0.2">
      <c r="B42" s="5">
        <v>35</v>
      </c>
      <c r="C42" s="5" t="s">
        <v>50</v>
      </c>
      <c r="D42" s="6" t="s">
        <v>97</v>
      </c>
      <c r="E42" s="5" t="s">
        <v>50</v>
      </c>
      <c r="F42" s="7">
        <v>0</v>
      </c>
      <c r="G42" s="7">
        <v>6319.3</v>
      </c>
      <c r="H42" s="7">
        <v>0</v>
      </c>
      <c r="I42" s="7">
        <v>0</v>
      </c>
      <c r="J42" s="7">
        <v>0</v>
      </c>
      <c r="K42" s="8"/>
      <c r="L42" s="9"/>
      <c r="M42" s="9"/>
    </row>
    <row r="43" spans="2:13" x14ac:dyDescent="0.2">
      <c r="B43" s="5">
        <v>36</v>
      </c>
      <c r="C43" s="5" t="s">
        <v>51</v>
      </c>
      <c r="D43" s="6" t="s">
        <v>97</v>
      </c>
      <c r="E43" s="5" t="s">
        <v>51</v>
      </c>
      <c r="F43" s="7">
        <v>30000.9</v>
      </c>
      <c r="G43" s="7">
        <v>49706.2</v>
      </c>
      <c r="H43" s="7">
        <v>0</v>
      </c>
      <c r="I43" s="7">
        <v>0</v>
      </c>
      <c r="J43" s="7">
        <v>0</v>
      </c>
      <c r="K43" s="8"/>
      <c r="L43" s="9"/>
      <c r="M43" s="9"/>
    </row>
    <row r="44" spans="2:13" x14ac:dyDescent="0.2">
      <c r="B44" s="10" t="s">
        <v>52</v>
      </c>
      <c r="C44" s="11"/>
      <c r="D44" s="11"/>
      <c r="E44" s="12"/>
      <c r="F44" s="13">
        <v>418782840.21509999</v>
      </c>
      <c r="G44" s="13">
        <v>1652358746.58022</v>
      </c>
      <c r="H44" s="13">
        <v>12864231.053000001</v>
      </c>
      <c r="I44" s="13">
        <v>4578213.0927999998</v>
      </c>
      <c r="J44" s="13">
        <v>3023714.6622945559</v>
      </c>
      <c r="K44" s="8"/>
      <c r="L44" s="9"/>
      <c r="M44" s="9"/>
    </row>
    <row r="45" spans="2:13" x14ac:dyDescent="0.2">
      <c r="F45" s="15"/>
      <c r="G45" s="15"/>
      <c r="H45" s="15"/>
      <c r="I45" s="15"/>
      <c r="J45" s="15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88190-EBAC-4F01-9164-AF250D28DCD0}">
  <sheetPr codeName="Hoja11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5" customWidth="1"/>
    <col min="9" max="9" width="9.5703125" bestFit="1" customWidth="1"/>
    <col min="10" max="10" width="13.42578125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97" t="s">
        <v>1</v>
      </c>
      <c r="F2" s="97"/>
      <c r="G2" s="2" t="str">
        <f>'Entrada AR'!$G$2</f>
        <v>def</v>
      </c>
    </row>
    <row r="3" spans="2:15" x14ac:dyDescent="0.2">
      <c r="B3" s="98">
        <f>'Entrada AR'!FechaFacturacion</f>
        <v>45566</v>
      </c>
      <c r="C3" s="98"/>
      <c r="D3" s="3"/>
    </row>
    <row r="4" spans="2:15" x14ac:dyDescent="0.2">
      <c r="B4" s="1"/>
    </row>
    <row r="6" spans="2:15" x14ac:dyDescent="0.2">
      <c r="B6" s="99" t="s">
        <v>3</v>
      </c>
      <c r="C6" s="99" t="s">
        <v>4</v>
      </c>
      <c r="D6" s="99" t="s">
        <v>5</v>
      </c>
      <c r="E6" s="99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54</v>
      </c>
      <c r="N6" s="9"/>
    </row>
    <row r="7" spans="2:15" x14ac:dyDescent="0.2">
      <c r="B7" s="99"/>
      <c r="C7" s="99"/>
      <c r="D7" s="99"/>
      <c r="E7" s="99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  <c r="N7" s="9"/>
      <c r="O7" s="14"/>
    </row>
    <row r="8" spans="2:15" x14ac:dyDescent="0.2">
      <c r="B8" s="5">
        <v>1</v>
      </c>
      <c r="C8" s="5" t="s">
        <v>14</v>
      </c>
      <c r="D8" s="6" t="str">
        <f>"resumen_montos_facturados_TD_AR_CDpRGL"&amp;"_"&amp;TEXT($B$3,"yymm")&amp;$G$2&amp;".xlsx"</f>
        <v>resumen_montos_facturados_TD_AR_CDpRGL_2410def.xlsx</v>
      </c>
      <c r="E8" s="5" t="s">
        <v>14</v>
      </c>
      <c r="F8" s="7">
        <v>1369056</v>
      </c>
      <c r="G8" s="7">
        <v>3036897</v>
      </c>
      <c r="H8" s="7">
        <v>145180</v>
      </c>
      <c r="I8" s="7">
        <v>29987</v>
      </c>
      <c r="J8" s="7">
        <v>-637346.08350383746</v>
      </c>
      <c r="K8" s="8"/>
      <c r="L8" s="8"/>
      <c r="M8" s="9"/>
      <c r="N8" s="9"/>
    </row>
    <row r="9" spans="2:15" x14ac:dyDescent="0.2">
      <c r="B9" s="5">
        <v>2</v>
      </c>
      <c r="C9" s="5" t="s">
        <v>15</v>
      </c>
      <c r="D9" s="6" t="str">
        <f t="shared" ref="D9:D43" si="0">"resumen_montos_facturados_TD_AR_CDpRGL"&amp;"_"&amp;TEXT($B$3,"yymm")&amp;$G$2&amp;".xlsx"</f>
        <v>resumen_montos_facturados_TD_AR_CDpRGL_2410def.xlsx</v>
      </c>
      <c r="E9" s="5" t="s">
        <v>15</v>
      </c>
      <c r="F9" s="7">
        <v>736444</v>
      </c>
      <c r="G9" s="7">
        <v>2954329</v>
      </c>
      <c r="H9" s="7">
        <v>1383</v>
      </c>
      <c r="I9" s="7">
        <v>30387</v>
      </c>
      <c r="J9" s="7">
        <v>-23023966.941246811</v>
      </c>
      <c r="K9" s="8"/>
      <c r="L9" s="8"/>
      <c r="M9" s="9"/>
      <c r="N9" s="9"/>
    </row>
    <row r="10" spans="2:15" x14ac:dyDescent="0.2">
      <c r="B10" s="5">
        <v>3</v>
      </c>
      <c r="C10" s="5" t="s">
        <v>16</v>
      </c>
      <c r="D10" s="6" t="str">
        <f t="shared" si="0"/>
        <v>resumen_montos_facturados_TD_AR_CDpRGL_2410def.xlsx</v>
      </c>
      <c r="E10" s="5" t="s">
        <v>16</v>
      </c>
      <c r="F10" s="7">
        <v>1805683.4</v>
      </c>
      <c r="G10" s="7">
        <v>5971293.3500100002</v>
      </c>
      <c r="H10" s="7">
        <v>0</v>
      </c>
      <c r="I10" s="7">
        <v>13086.6</v>
      </c>
      <c r="J10" s="7">
        <v>12469964.711840531</v>
      </c>
      <c r="K10" s="8"/>
      <c r="L10" s="8"/>
      <c r="M10" s="9"/>
      <c r="N10" s="9"/>
    </row>
    <row r="11" spans="2:15" x14ac:dyDescent="0.2">
      <c r="B11" s="5">
        <v>4</v>
      </c>
      <c r="C11" s="5" t="s">
        <v>17</v>
      </c>
      <c r="D11" s="6" t="str">
        <f t="shared" si="0"/>
        <v>resumen_montos_facturados_TD_AR_CDpRGL_2410def.xlsx</v>
      </c>
      <c r="E11" s="5" t="s">
        <v>17</v>
      </c>
      <c r="F11" s="7">
        <v>407838</v>
      </c>
      <c r="G11" s="7">
        <v>1342341</v>
      </c>
      <c r="H11" s="7">
        <v>0</v>
      </c>
      <c r="I11" s="7">
        <v>0</v>
      </c>
      <c r="J11" s="7">
        <v>3321640.9401372098</v>
      </c>
      <c r="K11" s="8"/>
      <c r="L11" s="8"/>
      <c r="M11" s="9"/>
      <c r="N11" s="9"/>
    </row>
    <row r="12" spans="2:15" x14ac:dyDescent="0.2">
      <c r="B12" s="5">
        <v>5</v>
      </c>
      <c r="C12" s="5" t="s">
        <v>18</v>
      </c>
      <c r="D12" s="6" t="str">
        <f t="shared" si="0"/>
        <v>resumen_montos_facturados_TD_AR_CDpRGL_2410def.xlsx</v>
      </c>
      <c r="E12" s="5" t="s">
        <v>18</v>
      </c>
      <c r="F12" s="7">
        <v>129685529.675</v>
      </c>
      <c r="G12" s="7">
        <v>463007299.80900002</v>
      </c>
      <c r="H12" s="7">
        <v>5592286.5279999999</v>
      </c>
      <c r="I12" s="7">
        <v>1342583.72</v>
      </c>
      <c r="J12" s="7">
        <v>194423815.80928949</v>
      </c>
      <c r="K12" s="8"/>
      <c r="L12" s="8"/>
      <c r="M12" s="9"/>
      <c r="N12" s="9"/>
    </row>
    <row r="13" spans="2:15" x14ac:dyDescent="0.2">
      <c r="B13" s="5">
        <v>6</v>
      </c>
      <c r="C13" s="5" t="s">
        <v>19</v>
      </c>
      <c r="D13" s="6" t="str">
        <f t="shared" si="0"/>
        <v>resumen_montos_facturados_TD_AR_CDpRGL_2410def.xlsx</v>
      </c>
      <c r="E13" s="5" t="s">
        <v>20</v>
      </c>
      <c r="F13" s="7">
        <v>233278</v>
      </c>
      <c r="G13" s="7">
        <v>913327.00399999996</v>
      </c>
      <c r="H13" s="7">
        <v>0</v>
      </c>
      <c r="I13" s="7">
        <v>0</v>
      </c>
      <c r="J13" s="7">
        <v>-18924039.238466561</v>
      </c>
      <c r="K13" s="8"/>
      <c r="L13" s="8"/>
      <c r="M13" s="9"/>
      <c r="N13" s="9"/>
    </row>
    <row r="14" spans="2:15" x14ac:dyDescent="0.2">
      <c r="B14" s="5">
        <v>7</v>
      </c>
      <c r="C14" s="5" t="s">
        <v>21</v>
      </c>
      <c r="D14" s="6" t="str">
        <f t="shared" si="0"/>
        <v>resumen_montos_facturados_TD_AR_CDpRGL_2410def.xlsx</v>
      </c>
      <c r="E14" s="5" t="s">
        <v>21</v>
      </c>
      <c r="F14" s="7">
        <v>10262916.464</v>
      </c>
      <c r="G14" s="7">
        <v>20625852.081</v>
      </c>
      <c r="H14" s="7">
        <v>749459.40300000005</v>
      </c>
      <c r="I14" s="7">
        <v>73566.923999999999</v>
      </c>
      <c r="J14" s="7">
        <v>-178184787.1283198</v>
      </c>
      <c r="K14" s="8"/>
      <c r="L14" s="8"/>
      <c r="M14" s="9"/>
      <c r="N14" s="9"/>
    </row>
    <row r="15" spans="2:15" x14ac:dyDescent="0.2">
      <c r="B15" s="5">
        <v>8</v>
      </c>
      <c r="C15" s="5" t="s">
        <v>22</v>
      </c>
      <c r="D15" s="6" t="str">
        <f t="shared" si="0"/>
        <v>resumen_montos_facturados_TD_AR_CDpRGL_2410def.xlsx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9"/>
      <c r="N15" s="9"/>
    </row>
    <row r="16" spans="2:15" x14ac:dyDescent="0.2">
      <c r="B16" s="5">
        <v>9</v>
      </c>
      <c r="C16" s="5" t="s">
        <v>23</v>
      </c>
      <c r="D16" s="6" t="str">
        <f t="shared" si="0"/>
        <v>resumen_montos_facturados_TD_AR_CDpRGL_2410def.xlsx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9"/>
      <c r="N16" s="9"/>
    </row>
    <row r="17" spans="2:14" x14ac:dyDescent="0.2">
      <c r="B17" s="5">
        <v>10</v>
      </c>
      <c r="C17" s="5" t="s">
        <v>24</v>
      </c>
      <c r="D17" s="6" t="str">
        <f t="shared" si="0"/>
        <v>resumen_montos_facturados_TD_AR_CDpRGL_2410def.xlsx</v>
      </c>
      <c r="E17" s="5" t="s">
        <v>24</v>
      </c>
      <c r="F17" s="7">
        <v>99612592.739000008</v>
      </c>
      <c r="G17" s="7">
        <v>577285819.03400004</v>
      </c>
      <c r="H17" s="7">
        <v>535261</v>
      </c>
      <c r="I17" s="7">
        <v>1262498.5719999999</v>
      </c>
      <c r="J17" s="7">
        <v>946236027.78539145</v>
      </c>
      <c r="K17" s="8"/>
      <c r="L17" s="8"/>
      <c r="M17" s="9"/>
      <c r="N17" s="9"/>
    </row>
    <row r="18" spans="2:14" x14ac:dyDescent="0.2">
      <c r="B18" s="5">
        <v>11</v>
      </c>
      <c r="C18" s="5" t="s">
        <v>25</v>
      </c>
      <c r="D18" s="6" t="str">
        <f t="shared" si="0"/>
        <v>resumen_montos_facturados_TD_AR_CDpRGL_2410def.xlsx</v>
      </c>
      <c r="E18" s="5" t="s">
        <v>25</v>
      </c>
      <c r="F18" s="7">
        <v>124916</v>
      </c>
      <c r="G18" s="7">
        <v>2350374.5529999998</v>
      </c>
      <c r="H18" s="7">
        <v>0</v>
      </c>
      <c r="I18" s="7">
        <v>17249</v>
      </c>
      <c r="J18" s="7">
        <v>4077499.2757038991</v>
      </c>
      <c r="K18" s="8"/>
      <c r="L18" s="8"/>
      <c r="M18" s="9"/>
      <c r="N18" s="9"/>
    </row>
    <row r="19" spans="2:14" x14ac:dyDescent="0.2">
      <c r="B19" s="5">
        <v>12</v>
      </c>
      <c r="C19" s="5" t="s">
        <v>26</v>
      </c>
      <c r="D19" s="6" t="str">
        <f t="shared" si="0"/>
        <v>resumen_montos_facturados_TD_AR_CDpRGL_2410def.xlsx</v>
      </c>
      <c r="E19" s="5" t="s">
        <v>26</v>
      </c>
      <c r="F19" s="7">
        <v>32570199.870000001</v>
      </c>
      <c r="G19" s="7">
        <v>70264417.353</v>
      </c>
      <c r="H19" s="7">
        <v>1138181.7109999999</v>
      </c>
      <c r="I19" s="7">
        <v>170381.96400000001</v>
      </c>
      <c r="J19" s="7">
        <v>-54816601.429754511</v>
      </c>
      <c r="K19" s="8"/>
      <c r="L19" s="8"/>
      <c r="M19" s="9"/>
      <c r="N19" s="9"/>
    </row>
    <row r="20" spans="2:14" x14ac:dyDescent="0.2">
      <c r="B20" s="5">
        <v>13</v>
      </c>
      <c r="C20" s="5" t="s">
        <v>27</v>
      </c>
      <c r="D20" s="6" t="str">
        <f t="shared" si="0"/>
        <v>resumen_montos_facturados_TD_AR_CDpRGL_2410def.xlsx</v>
      </c>
      <c r="E20" s="5" t="s">
        <v>27</v>
      </c>
      <c r="F20" s="7">
        <v>3244522.9169999999</v>
      </c>
      <c r="G20" s="7">
        <v>18023899.783</v>
      </c>
      <c r="H20" s="7">
        <v>0</v>
      </c>
      <c r="I20" s="7">
        <v>16943.004000000001</v>
      </c>
      <c r="J20" s="7">
        <v>40253138.869878232</v>
      </c>
      <c r="K20" s="8"/>
      <c r="L20" s="8"/>
      <c r="M20" s="9"/>
      <c r="N20" s="9"/>
    </row>
    <row r="21" spans="2:14" x14ac:dyDescent="0.2">
      <c r="B21" s="5">
        <v>14</v>
      </c>
      <c r="C21" s="5" t="s">
        <v>28</v>
      </c>
      <c r="D21" s="6" t="str">
        <f t="shared" si="0"/>
        <v>resumen_montos_facturados_TD_AR_CDpRGL_2410def.xlsx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9"/>
      <c r="N21" s="9"/>
    </row>
    <row r="22" spans="2:14" x14ac:dyDescent="0.2">
      <c r="B22" s="5">
        <v>15</v>
      </c>
      <c r="C22" s="5" t="s">
        <v>29</v>
      </c>
      <c r="D22" s="6" t="str">
        <f t="shared" si="0"/>
        <v>resumen_montos_facturados_TD_AR_CDpRGL_2410def.xlsx</v>
      </c>
      <c r="E22" s="5" t="s">
        <v>29</v>
      </c>
      <c r="F22" s="7">
        <v>1337677</v>
      </c>
      <c r="G22" s="7">
        <v>7924621</v>
      </c>
      <c r="H22" s="7">
        <v>880</v>
      </c>
      <c r="I22" s="7">
        <v>17333</v>
      </c>
      <c r="J22" s="7">
        <v>-5126347.5559415203</v>
      </c>
      <c r="K22" s="8"/>
      <c r="L22" s="8"/>
      <c r="M22" s="9"/>
      <c r="N22" s="9"/>
    </row>
    <row r="23" spans="2:14" x14ac:dyDescent="0.2">
      <c r="B23" s="5">
        <v>16</v>
      </c>
      <c r="C23" s="5" t="s">
        <v>30</v>
      </c>
      <c r="D23" s="6" t="str">
        <f t="shared" si="0"/>
        <v>resumen_montos_facturados_TD_AR_CDpRGL_2410def.xlsx</v>
      </c>
      <c r="E23" s="5" t="s">
        <v>30</v>
      </c>
      <c r="F23" s="7">
        <v>4035448</v>
      </c>
      <c r="G23" s="7">
        <v>13663454</v>
      </c>
      <c r="H23" s="7">
        <v>687984</v>
      </c>
      <c r="I23" s="7">
        <v>116064</v>
      </c>
      <c r="J23" s="7">
        <v>22874399.108395942</v>
      </c>
      <c r="K23" s="8"/>
      <c r="L23" s="8"/>
      <c r="M23" s="9"/>
      <c r="N23" s="9"/>
    </row>
    <row r="24" spans="2:14" x14ac:dyDescent="0.2">
      <c r="B24" s="5">
        <v>17</v>
      </c>
      <c r="C24" s="5" t="s">
        <v>31</v>
      </c>
      <c r="D24" s="6" t="str">
        <f t="shared" si="0"/>
        <v>resumen_montos_facturados_TD_AR_CDpRGL_2410def.xlsx</v>
      </c>
      <c r="E24" s="5" t="s">
        <v>31</v>
      </c>
      <c r="F24" s="7">
        <v>1680286</v>
      </c>
      <c r="G24" s="7">
        <v>13303288</v>
      </c>
      <c r="H24" s="7">
        <v>85</v>
      </c>
      <c r="I24" s="7">
        <v>62987</v>
      </c>
      <c r="J24" s="7">
        <v>22216359.10312707</v>
      </c>
      <c r="K24" s="8"/>
      <c r="L24" s="8"/>
      <c r="M24" s="9"/>
      <c r="N24" s="9"/>
    </row>
    <row r="25" spans="2:14" x14ac:dyDescent="0.2">
      <c r="B25" s="5">
        <v>18</v>
      </c>
      <c r="C25" s="5" t="s">
        <v>32</v>
      </c>
      <c r="D25" s="6" t="str">
        <f t="shared" si="0"/>
        <v>resumen_montos_facturados_TD_AR_CDpRGL_2410def.xlsx</v>
      </c>
      <c r="E25" s="5" t="s">
        <v>32</v>
      </c>
      <c r="F25" s="7">
        <v>422574</v>
      </c>
      <c r="G25" s="7">
        <v>2515825</v>
      </c>
      <c r="H25" s="7">
        <v>93373</v>
      </c>
      <c r="I25" s="7">
        <v>37668</v>
      </c>
      <c r="J25" s="7">
        <v>-5475366.0012249406</v>
      </c>
      <c r="K25" s="8"/>
      <c r="L25" s="8"/>
      <c r="M25" s="9"/>
      <c r="N25" s="9"/>
    </row>
    <row r="26" spans="2:14" x14ac:dyDescent="0.2">
      <c r="B26" s="5">
        <v>19</v>
      </c>
      <c r="C26" s="5" t="s">
        <v>33</v>
      </c>
      <c r="D26" s="6" t="str">
        <f t="shared" si="0"/>
        <v>resumen_montos_facturados_TD_AR_CDpRGL_2410def.xlsx</v>
      </c>
      <c r="E26" s="5" t="s">
        <v>33</v>
      </c>
      <c r="F26" s="7">
        <v>1033516</v>
      </c>
      <c r="G26" s="7">
        <v>1899168</v>
      </c>
      <c r="H26" s="7">
        <v>102954</v>
      </c>
      <c r="I26" s="7">
        <v>6473</v>
      </c>
      <c r="J26" s="7">
        <v>4265595.0254147192</v>
      </c>
      <c r="K26" s="8"/>
      <c r="L26" s="8"/>
      <c r="M26" s="9"/>
      <c r="N26" s="9"/>
    </row>
    <row r="27" spans="2:14" x14ac:dyDescent="0.2">
      <c r="B27" s="5">
        <v>20</v>
      </c>
      <c r="C27" s="5" t="s">
        <v>34</v>
      </c>
      <c r="D27" s="6" t="str">
        <f t="shared" si="0"/>
        <v>resumen_montos_facturados_TD_AR_CDpRGL_2410def.xlsx</v>
      </c>
      <c r="E27" s="5" t="s">
        <v>34</v>
      </c>
      <c r="F27" s="7">
        <v>1232712</v>
      </c>
      <c r="G27" s="7">
        <v>6789432</v>
      </c>
      <c r="H27" s="7">
        <v>267955</v>
      </c>
      <c r="I27" s="7">
        <v>76826</v>
      </c>
      <c r="J27" s="7">
        <v>155728.336263492</v>
      </c>
      <c r="K27" s="8"/>
      <c r="L27" s="8"/>
      <c r="M27" s="9"/>
      <c r="N27" s="9"/>
    </row>
    <row r="28" spans="2:14" x14ac:dyDescent="0.2">
      <c r="B28" s="5">
        <v>21</v>
      </c>
      <c r="C28" s="5" t="s">
        <v>35</v>
      </c>
      <c r="D28" s="6" t="str">
        <f t="shared" si="0"/>
        <v>resumen_montos_facturados_TD_AR_CDpRGL_2410def.xlsx</v>
      </c>
      <c r="E28" s="5" t="s">
        <v>35</v>
      </c>
      <c r="F28" s="7">
        <v>18146722.66</v>
      </c>
      <c r="G28" s="7">
        <v>65344272.25</v>
      </c>
      <c r="H28" s="7">
        <v>283367.23</v>
      </c>
      <c r="I28" s="7">
        <v>110007.8</v>
      </c>
      <c r="J28" s="7">
        <v>-63734941.420793958</v>
      </c>
      <c r="K28" s="8"/>
      <c r="L28" s="8"/>
      <c r="M28" s="9"/>
      <c r="N28" s="9"/>
    </row>
    <row r="29" spans="2:14" x14ac:dyDescent="0.2">
      <c r="B29" s="5">
        <v>22</v>
      </c>
      <c r="C29" s="5" t="s">
        <v>36</v>
      </c>
      <c r="D29" s="6" t="str">
        <f t="shared" si="0"/>
        <v>resumen_montos_facturados_TD_AR_CDpRGL_2410def.xlsx</v>
      </c>
      <c r="E29" s="5" t="s">
        <v>36</v>
      </c>
      <c r="F29" s="7">
        <v>7623977.3300000001</v>
      </c>
      <c r="G29" s="7">
        <v>6686820.3399999999</v>
      </c>
      <c r="H29" s="7">
        <v>128632</v>
      </c>
      <c r="I29" s="7">
        <v>6261</v>
      </c>
      <c r="J29" s="7">
        <v>-21317005.939978499</v>
      </c>
      <c r="K29" s="8"/>
      <c r="L29" s="8"/>
      <c r="M29" s="9"/>
      <c r="N29" s="9"/>
    </row>
    <row r="30" spans="2:14" x14ac:dyDescent="0.2">
      <c r="B30" s="5">
        <v>23</v>
      </c>
      <c r="C30" s="5" t="s">
        <v>37</v>
      </c>
      <c r="D30" s="6" t="str">
        <f t="shared" si="0"/>
        <v>resumen_montos_facturados_TD_AR_CDpRGL_2410def.xlsx</v>
      </c>
      <c r="E30" s="5" t="s">
        <v>37</v>
      </c>
      <c r="F30" s="7">
        <v>39086898.990000002</v>
      </c>
      <c r="G30" s="7">
        <v>116325295.42</v>
      </c>
      <c r="H30" s="7">
        <v>139457.94</v>
      </c>
      <c r="I30" s="7">
        <v>133164.53</v>
      </c>
      <c r="J30" s="7">
        <v>-203176079.86736169</v>
      </c>
      <c r="K30" s="8"/>
      <c r="L30" s="8"/>
      <c r="M30" s="9"/>
      <c r="N30" s="9"/>
    </row>
    <row r="31" spans="2:14" x14ac:dyDescent="0.2">
      <c r="B31" s="5">
        <v>24</v>
      </c>
      <c r="C31" s="5" t="s">
        <v>38</v>
      </c>
      <c r="D31" s="6" t="str">
        <f t="shared" si="0"/>
        <v>resumen_montos_facturados_TD_AR_CDpRGL_2410def.xlsx</v>
      </c>
      <c r="E31" s="5" t="s">
        <v>38</v>
      </c>
      <c r="F31" s="7">
        <v>1633663</v>
      </c>
      <c r="G31" s="7">
        <v>2991038</v>
      </c>
      <c r="H31" s="7">
        <v>29315</v>
      </c>
      <c r="I31" s="7">
        <v>38586</v>
      </c>
      <c r="J31" s="7">
        <v>3742227.867497358</v>
      </c>
      <c r="K31" s="8"/>
      <c r="L31" s="8"/>
      <c r="M31" s="9"/>
      <c r="N31" s="9"/>
    </row>
    <row r="32" spans="2:14" x14ac:dyDescent="0.2">
      <c r="B32" s="5">
        <v>25</v>
      </c>
      <c r="C32" s="5" t="s">
        <v>39</v>
      </c>
      <c r="D32" s="6" t="str">
        <f t="shared" si="0"/>
        <v>resumen_montos_facturados_TD_AR_CDpRGL_2410def.xlsx</v>
      </c>
      <c r="E32" s="5" t="s">
        <v>39</v>
      </c>
      <c r="F32" s="7">
        <v>32427172.100000001</v>
      </c>
      <c r="G32" s="7">
        <v>132226811.75320999</v>
      </c>
      <c r="H32" s="7">
        <v>2256334.4</v>
      </c>
      <c r="I32" s="7">
        <v>621627.5</v>
      </c>
      <c r="J32" s="7">
        <v>-222667798.30997899</v>
      </c>
      <c r="K32" s="8"/>
      <c r="L32" s="8"/>
      <c r="M32" s="9"/>
      <c r="N32" s="9"/>
    </row>
    <row r="33" spans="2:14" x14ac:dyDescent="0.2">
      <c r="B33" s="5">
        <v>26</v>
      </c>
      <c r="C33" s="5" t="s">
        <v>40</v>
      </c>
      <c r="D33" s="6" t="str">
        <f t="shared" si="0"/>
        <v>resumen_montos_facturados_TD_AR_CDpRGL_2410def.xlsx</v>
      </c>
      <c r="E33" s="5" t="s">
        <v>40</v>
      </c>
      <c r="F33" s="7">
        <v>1140659.8</v>
      </c>
      <c r="G33" s="7">
        <v>2185959.2999999998</v>
      </c>
      <c r="H33" s="7">
        <v>68454</v>
      </c>
      <c r="I33" s="7">
        <v>105087</v>
      </c>
      <c r="J33" s="7">
        <v>4884998.4439598359</v>
      </c>
      <c r="K33" s="8"/>
      <c r="L33" s="8"/>
      <c r="M33" s="9"/>
      <c r="N33" s="9"/>
    </row>
    <row r="34" spans="2:14" x14ac:dyDescent="0.2">
      <c r="B34" s="5">
        <v>27</v>
      </c>
      <c r="C34" s="5" t="s">
        <v>41</v>
      </c>
      <c r="D34" s="6" t="str">
        <f t="shared" si="0"/>
        <v>resumen_montos_facturados_TD_AR_CDpRGL_2410def.xlsx</v>
      </c>
      <c r="E34" s="5" t="s">
        <v>41</v>
      </c>
      <c r="F34" s="7">
        <v>1292871.5</v>
      </c>
      <c r="G34" s="7">
        <v>9543185.6530000009</v>
      </c>
      <c r="H34" s="7">
        <v>11389</v>
      </c>
      <c r="I34" s="7">
        <v>38559</v>
      </c>
      <c r="J34" s="7">
        <v>16138483.35900378</v>
      </c>
      <c r="K34" s="8"/>
      <c r="L34" s="8"/>
      <c r="M34" s="9"/>
      <c r="N34" s="9"/>
    </row>
    <row r="35" spans="2:14" x14ac:dyDescent="0.2">
      <c r="B35" s="5">
        <v>28</v>
      </c>
      <c r="C35" s="5" t="s">
        <v>42</v>
      </c>
      <c r="D35" s="6" t="str">
        <f t="shared" si="0"/>
        <v>resumen_montos_facturados_TD_AR_CDpRGL_2410def.xlsx</v>
      </c>
      <c r="E35" s="5" t="s">
        <v>42</v>
      </c>
      <c r="F35" s="7">
        <v>2279830.2000000002</v>
      </c>
      <c r="G35" s="7">
        <v>5982451.7654999997</v>
      </c>
      <c r="H35" s="7">
        <v>235307</v>
      </c>
      <c r="I35" s="7">
        <v>43330.176800000001</v>
      </c>
      <c r="J35" s="7">
        <v>-39204804.746578217</v>
      </c>
      <c r="K35" s="8"/>
      <c r="L35" s="8"/>
      <c r="M35" s="9"/>
      <c r="N35" s="9"/>
    </row>
    <row r="36" spans="2:14" x14ac:dyDescent="0.2">
      <c r="B36" s="5">
        <v>29</v>
      </c>
      <c r="C36" s="5" t="s">
        <v>43</v>
      </c>
      <c r="D36" s="6" t="str">
        <f t="shared" si="0"/>
        <v>resumen_montos_facturados_TD_AR_CDpRGL_2410def.xlsx</v>
      </c>
      <c r="E36" s="5" t="s">
        <v>43</v>
      </c>
      <c r="F36" s="7">
        <v>1736762.9001</v>
      </c>
      <c r="G36" s="7">
        <v>4296663.1634999998</v>
      </c>
      <c r="H36" s="7">
        <v>316227.20000000001</v>
      </c>
      <c r="I36" s="7">
        <v>72725.100000000006</v>
      </c>
      <c r="J36" s="7">
        <v>7557583.0187814552</v>
      </c>
      <c r="K36" s="8"/>
      <c r="L36" s="8"/>
      <c r="M36" s="9"/>
      <c r="N36" s="9"/>
    </row>
    <row r="37" spans="2:14" x14ac:dyDescent="0.2">
      <c r="B37" s="5">
        <v>30</v>
      </c>
      <c r="C37" s="5" t="s">
        <v>44</v>
      </c>
      <c r="D37" s="6" t="str">
        <f t="shared" si="0"/>
        <v>resumen_montos_facturados_TD_AR_CDpRGL_2410def.xlsx</v>
      </c>
      <c r="E37" s="5" t="s">
        <v>45</v>
      </c>
      <c r="F37" s="7">
        <v>500440.00000000012</v>
      </c>
      <c r="G37" s="7">
        <v>824926</v>
      </c>
      <c r="H37" s="7">
        <v>31694</v>
      </c>
      <c r="I37" s="7">
        <v>11501</v>
      </c>
      <c r="J37" s="7">
        <v>-10581529.703919919</v>
      </c>
      <c r="K37" s="8"/>
      <c r="L37" s="8"/>
      <c r="M37" s="9"/>
      <c r="N37" s="9"/>
    </row>
    <row r="38" spans="2:14" x14ac:dyDescent="0.2">
      <c r="B38" s="5">
        <v>31</v>
      </c>
      <c r="C38" s="5" t="s">
        <v>46</v>
      </c>
      <c r="D38" s="6" t="str">
        <f t="shared" si="0"/>
        <v>resumen_montos_facturados_TD_AR_CDpRGL_2410def.xlsx</v>
      </c>
      <c r="E38" s="5" t="s">
        <v>46</v>
      </c>
      <c r="F38" s="7">
        <v>4050077.4360000002</v>
      </c>
      <c r="G38" s="7">
        <v>16871536.622000001</v>
      </c>
      <c r="H38" s="7">
        <v>3639.0010000000002</v>
      </c>
      <c r="I38" s="7">
        <v>27289.016</v>
      </c>
      <c r="J38" s="7">
        <v>33578753.916288972</v>
      </c>
      <c r="K38" s="8"/>
      <c r="L38" s="8"/>
      <c r="M38" s="9"/>
      <c r="N38" s="9"/>
    </row>
    <row r="39" spans="2:14" x14ac:dyDescent="0.2">
      <c r="B39" s="5">
        <v>32</v>
      </c>
      <c r="C39" s="5" t="s">
        <v>47</v>
      </c>
      <c r="D39" s="6" t="str">
        <f t="shared" si="0"/>
        <v>resumen_montos_facturados_TD_AR_CDpRGL_2410def.xlsx</v>
      </c>
      <c r="E39" s="5" t="s">
        <v>47</v>
      </c>
      <c r="F39" s="7">
        <v>5965058.4289999995</v>
      </c>
      <c r="G39" s="7">
        <v>26994305.197000001</v>
      </c>
      <c r="H39" s="7">
        <v>14725.08</v>
      </c>
      <c r="I39" s="7">
        <v>23232.508000000002</v>
      </c>
      <c r="J39" s="7">
        <v>-91949096.725987613</v>
      </c>
      <c r="K39" s="8"/>
      <c r="L39" s="8"/>
      <c r="M39" s="9"/>
      <c r="N39" s="9"/>
    </row>
    <row r="40" spans="2:14" x14ac:dyDescent="0.2">
      <c r="B40" s="5">
        <v>33</v>
      </c>
      <c r="C40" s="5" t="s">
        <v>48</v>
      </c>
      <c r="D40" s="6" t="str">
        <f t="shared" si="0"/>
        <v>resumen_montos_facturados_TD_AR_CDpRGL_2410def.xlsx</v>
      </c>
      <c r="E40" s="5" t="s">
        <v>48</v>
      </c>
      <c r="F40" s="7">
        <v>13073514.904999999</v>
      </c>
      <c r="G40" s="7">
        <v>50157817.648999996</v>
      </c>
      <c r="H40" s="7">
        <v>30706.560000000001</v>
      </c>
      <c r="I40" s="7">
        <v>72807.678</v>
      </c>
      <c r="J40" s="7">
        <v>-171082955.71017131</v>
      </c>
      <c r="K40" s="8"/>
      <c r="L40" s="8"/>
      <c r="M40" s="9"/>
      <c r="N40" s="9"/>
    </row>
    <row r="41" spans="2:14" x14ac:dyDescent="0.2">
      <c r="B41" s="5">
        <v>34</v>
      </c>
      <c r="C41" s="5" t="s">
        <v>49</v>
      </c>
      <c r="D41" s="6" t="str">
        <f t="shared" si="0"/>
        <v>resumen_montos_facturados_TD_AR_CDpRGL_2410def.xlsx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8"/>
      <c r="M41" s="9"/>
      <c r="N41" s="9"/>
    </row>
    <row r="42" spans="2:14" x14ac:dyDescent="0.2">
      <c r="B42" s="5">
        <v>35</v>
      </c>
      <c r="C42" s="5" t="s">
        <v>50</v>
      </c>
      <c r="D42" s="6" t="str">
        <f t="shared" si="0"/>
        <v>resumen_montos_facturados_TD_AR_CDpRGL_2410def.xlsx</v>
      </c>
      <c r="E42" s="5" t="s">
        <v>50</v>
      </c>
      <c r="F42" s="7">
        <v>0</v>
      </c>
      <c r="G42" s="7">
        <v>6319.3</v>
      </c>
      <c r="H42" s="7">
        <v>0</v>
      </c>
      <c r="I42" s="7">
        <v>0</v>
      </c>
      <c r="J42" s="7">
        <v>0</v>
      </c>
      <c r="K42" s="8"/>
      <c r="L42" s="8"/>
      <c r="M42" s="9"/>
      <c r="N42" s="9"/>
    </row>
    <row r="43" spans="2:14" x14ac:dyDescent="0.2">
      <c r="B43" s="5">
        <v>36</v>
      </c>
      <c r="C43" s="5" t="s">
        <v>51</v>
      </c>
      <c r="D43" s="6" t="str">
        <f t="shared" si="0"/>
        <v>resumen_montos_facturados_TD_AR_CDpRGL_2410def.xlsx</v>
      </c>
      <c r="E43" s="5" t="s">
        <v>51</v>
      </c>
      <c r="F43" s="7">
        <v>30000.9</v>
      </c>
      <c r="G43" s="7">
        <v>49706.2</v>
      </c>
      <c r="H43" s="7">
        <v>0</v>
      </c>
      <c r="I43" s="7">
        <v>0</v>
      </c>
      <c r="J43" s="7">
        <v>-1883728.176607826</v>
      </c>
      <c r="K43" s="8"/>
      <c r="L43" s="8"/>
      <c r="M43" s="9"/>
      <c r="N43" s="9"/>
    </row>
    <row r="44" spans="2:14" x14ac:dyDescent="0.2">
      <c r="B44" s="10" t="s">
        <v>52</v>
      </c>
      <c r="C44" s="11"/>
      <c r="D44" s="11"/>
      <c r="E44" s="12"/>
      <c r="F44" s="13">
        <f>SUM(F8:F43)</f>
        <v>418782840.21509999</v>
      </c>
      <c r="G44" s="13">
        <f>SUM(G8:G43)</f>
        <v>1652358746.58022</v>
      </c>
      <c r="H44" s="13">
        <f>SUM(H8:H43)</f>
        <v>12864231.053000001</v>
      </c>
      <c r="I44" s="13">
        <f>SUM(I8:I43)</f>
        <v>4578213.0927999998</v>
      </c>
      <c r="J44" s="13">
        <f>SUM(J8:J43)</f>
        <v>204409820.59113753</v>
      </c>
      <c r="K44" s="8"/>
      <c r="L44" s="8"/>
      <c r="M44" s="9"/>
      <c r="N44" s="9"/>
    </row>
    <row r="45" spans="2:14" x14ac:dyDescent="0.2">
      <c r="N45" s="9"/>
    </row>
    <row r="46" spans="2:14" x14ac:dyDescent="0.2">
      <c r="F46" s="15"/>
      <c r="G46" s="15"/>
      <c r="H46" s="15"/>
      <c r="I46" s="15"/>
      <c r="J46" s="15"/>
      <c r="N46" s="9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C8DE-ACE2-4C7B-9404-9ACFD2372725}">
  <sheetPr codeName="Hoja13">
    <tabColor theme="0"/>
  </sheetPr>
  <dimension ref="B2:O46"/>
  <sheetViews>
    <sheetView showGridLines="0" zoomScale="85" zoomScaleNormal="85" workbookViewId="0"/>
  </sheetViews>
  <sheetFormatPr baseColWidth="10" defaultRowHeight="12.75" x14ac:dyDescent="0.2"/>
  <cols>
    <col min="2" max="2" width="3.42578125" customWidth="1"/>
    <col min="3" max="3" width="16.28515625" bestFit="1" customWidth="1"/>
    <col min="4" max="4" width="49.5703125" bestFit="1" customWidth="1"/>
    <col min="5" max="5" width="12" customWidth="1"/>
    <col min="6" max="6" width="16" customWidth="1"/>
    <col min="7" max="7" width="18.28515625" customWidth="1"/>
    <col min="8" max="8" width="13.7109375" customWidth="1"/>
    <col min="9" max="9" width="9.5703125" bestFit="1" customWidth="1"/>
    <col min="10" max="10" width="12.140625" bestFit="1" customWidth="1"/>
    <col min="11" max="11" width="12.85546875" customWidth="1"/>
    <col min="12" max="12" width="13.7109375" customWidth="1"/>
    <col min="13" max="13" width="14.140625" customWidth="1"/>
    <col min="14" max="15" width="11.5703125" bestFit="1" customWidth="1"/>
    <col min="16" max="16" width="13.28515625" customWidth="1"/>
    <col min="17" max="17" width="12.7109375" customWidth="1"/>
  </cols>
  <sheetData>
    <row r="2" spans="2:15" x14ac:dyDescent="0.2">
      <c r="B2" s="1" t="s">
        <v>0</v>
      </c>
      <c r="D2" s="1"/>
      <c r="E2" s="97" t="s">
        <v>1</v>
      </c>
      <c r="F2" s="97"/>
      <c r="G2" s="2" t="str">
        <f>'Entrada AR'!$G$2</f>
        <v>def</v>
      </c>
    </row>
    <row r="3" spans="2:15" x14ac:dyDescent="0.2">
      <c r="B3" s="98">
        <f>'Entrada AR'!FechaFacturacion</f>
        <v>45566</v>
      </c>
      <c r="C3" s="98"/>
      <c r="D3" s="3"/>
    </row>
    <row r="4" spans="2:15" x14ac:dyDescent="0.2">
      <c r="B4" s="1"/>
    </row>
    <row r="6" spans="2:15" x14ac:dyDescent="0.2">
      <c r="B6" s="99" t="s">
        <v>3</v>
      </c>
      <c r="C6" s="99" t="s">
        <v>4</v>
      </c>
      <c r="D6" s="99" t="s">
        <v>5</v>
      </c>
      <c r="E6" s="99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55</v>
      </c>
      <c r="N6" s="9"/>
    </row>
    <row r="7" spans="2:15" x14ac:dyDescent="0.2">
      <c r="B7" s="99"/>
      <c r="C7" s="99"/>
      <c r="D7" s="99"/>
      <c r="E7" s="99"/>
      <c r="F7" s="4" t="s">
        <v>12</v>
      </c>
      <c r="G7" s="4" t="s">
        <v>12</v>
      </c>
      <c r="H7" s="4" t="s">
        <v>12</v>
      </c>
      <c r="I7" s="4" t="s">
        <v>12</v>
      </c>
      <c r="J7" s="4" t="s">
        <v>13</v>
      </c>
      <c r="N7" s="9"/>
      <c r="O7" s="14"/>
    </row>
    <row r="8" spans="2:15" x14ac:dyDescent="0.2">
      <c r="B8" s="5">
        <v>1</v>
      </c>
      <c r="C8" s="5" t="s">
        <v>14</v>
      </c>
      <c r="D8" s="6" t="str">
        <f>"resumen_montos_facturados_TD_AR_CDpRGL"&amp;"_"&amp;TEXT($B$3,"yymm")&amp;$G$2&amp;".xlsx"</f>
        <v>resumen_montos_facturados_TD_AR_CDpRGL_2410def.xlsx</v>
      </c>
      <c r="E8" s="5" t="s">
        <v>14</v>
      </c>
      <c r="F8" s="7">
        <v>1369056</v>
      </c>
      <c r="G8" s="7">
        <v>3036897</v>
      </c>
      <c r="H8" s="7">
        <v>145180</v>
      </c>
      <c r="I8" s="7">
        <v>29987</v>
      </c>
      <c r="J8" s="7">
        <v>2294491.1590623399</v>
      </c>
      <c r="K8" s="8"/>
      <c r="L8" s="8"/>
      <c r="M8" s="9"/>
      <c r="N8" s="9"/>
    </row>
    <row r="9" spans="2:15" x14ac:dyDescent="0.2">
      <c r="B9" s="5">
        <v>2</v>
      </c>
      <c r="C9" s="5" t="s">
        <v>15</v>
      </c>
      <c r="D9" s="6" t="str">
        <f t="shared" ref="D9:D43" si="0">"resumen_montos_facturados_TD_AR_CDpRGL"&amp;"_"&amp;TEXT($B$3,"yymm")&amp;$G$2&amp;".xlsx"</f>
        <v>resumen_montos_facturados_TD_AR_CDpRGL_2410def.xlsx</v>
      </c>
      <c r="E9" s="5" t="s">
        <v>15</v>
      </c>
      <c r="F9" s="7">
        <v>736444</v>
      </c>
      <c r="G9" s="7">
        <v>2954329</v>
      </c>
      <c r="H9" s="7">
        <v>1383</v>
      </c>
      <c r="I9" s="7">
        <v>30387</v>
      </c>
      <c r="J9" s="7">
        <v>1756438.2361641501</v>
      </c>
      <c r="K9" s="8"/>
      <c r="L9" s="8"/>
      <c r="M9" s="9"/>
      <c r="N9" s="9"/>
    </row>
    <row r="10" spans="2:15" x14ac:dyDescent="0.2">
      <c r="B10" s="5">
        <v>3</v>
      </c>
      <c r="C10" s="5" t="s">
        <v>16</v>
      </c>
      <c r="D10" s="6" t="str">
        <f t="shared" si="0"/>
        <v>resumen_montos_facturados_TD_AR_CDpRGL_2410def.xlsx</v>
      </c>
      <c r="E10" s="5" t="s">
        <v>16</v>
      </c>
      <c r="F10" s="7">
        <v>1805683.4</v>
      </c>
      <c r="G10" s="7">
        <v>5971293.3500100002</v>
      </c>
      <c r="H10" s="7">
        <v>0</v>
      </c>
      <c r="I10" s="7">
        <v>13086.6</v>
      </c>
      <c r="J10" s="7">
        <v>5600195.5226897513</v>
      </c>
      <c r="K10" s="8"/>
      <c r="L10" s="8"/>
      <c r="M10" s="9"/>
      <c r="N10" s="9"/>
    </row>
    <row r="11" spans="2:15" x14ac:dyDescent="0.2">
      <c r="B11" s="5">
        <v>4</v>
      </c>
      <c r="C11" s="5" t="s">
        <v>17</v>
      </c>
      <c r="D11" s="6" t="str">
        <f t="shared" si="0"/>
        <v>resumen_montos_facturados_TD_AR_CDpRGL_2410def.xlsx</v>
      </c>
      <c r="E11" s="5" t="s">
        <v>17</v>
      </c>
      <c r="F11" s="7">
        <v>407838</v>
      </c>
      <c r="G11" s="7">
        <v>1342341</v>
      </c>
      <c r="H11" s="7">
        <v>0</v>
      </c>
      <c r="I11" s="7">
        <v>0</v>
      </c>
      <c r="J11" s="7">
        <v>1528362.395768655</v>
      </c>
      <c r="K11" s="8"/>
      <c r="L11" s="8"/>
      <c r="M11" s="9"/>
      <c r="N11" s="9"/>
    </row>
    <row r="12" spans="2:15" x14ac:dyDescent="0.2">
      <c r="B12" s="5">
        <v>5</v>
      </c>
      <c r="C12" s="5" t="s">
        <v>18</v>
      </c>
      <c r="D12" s="6" t="str">
        <f t="shared" si="0"/>
        <v>resumen_montos_facturados_TD_AR_CDpRGL_2410def.xlsx</v>
      </c>
      <c r="E12" s="5" t="s">
        <v>18</v>
      </c>
      <c r="F12" s="7">
        <v>129685529.675</v>
      </c>
      <c r="G12" s="7">
        <v>463007299.80900002</v>
      </c>
      <c r="H12" s="7">
        <v>5592286.5279999999</v>
      </c>
      <c r="I12" s="7">
        <v>1342583.72</v>
      </c>
      <c r="J12" s="7">
        <v>-376747519.02217227</v>
      </c>
      <c r="K12" s="8"/>
      <c r="L12" s="8"/>
      <c r="M12" s="9"/>
      <c r="N12" s="9"/>
    </row>
    <row r="13" spans="2:15" x14ac:dyDescent="0.2">
      <c r="B13" s="5">
        <v>6</v>
      </c>
      <c r="C13" s="5" t="s">
        <v>19</v>
      </c>
      <c r="D13" s="6" t="str">
        <f t="shared" si="0"/>
        <v>resumen_montos_facturados_TD_AR_CDpRGL_2410def.xlsx</v>
      </c>
      <c r="E13" s="5" t="s">
        <v>20</v>
      </c>
      <c r="F13" s="7">
        <v>233278</v>
      </c>
      <c r="G13" s="7">
        <v>913327.00399999996</v>
      </c>
      <c r="H13" s="7">
        <v>0</v>
      </c>
      <c r="I13" s="7">
        <v>0</v>
      </c>
      <c r="J13" s="7">
        <v>661145.3897977412</v>
      </c>
      <c r="K13" s="8"/>
      <c r="L13" s="8"/>
      <c r="M13" s="9"/>
      <c r="N13" s="9"/>
    </row>
    <row r="14" spans="2:15" x14ac:dyDescent="0.2">
      <c r="B14" s="5">
        <v>7</v>
      </c>
      <c r="C14" s="5" t="s">
        <v>21</v>
      </c>
      <c r="D14" s="6" t="str">
        <f t="shared" si="0"/>
        <v>resumen_montos_facturados_TD_AR_CDpRGL_2410def.xlsx</v>
      </c>
      <c r="E14" s="5" t="s">
        <v>21</v>
      </c>
      <c r="F14" s="7">
        <v>10262916.464</v>
      </c>
      <c r="G14" s="7">
        <v>20625852.081</v>
      </c>
      <c r="H14" s="7">
        <v>749459.40300000005</v>
      </c>
      <c r="I14" s="7">
        <v>73566.923999999999</v>
      </c>
      <c r="J14" s="7">
        <v>-20768333.195336811</v>
      </c>
      <c r="K14" s="8"/>
      <c r="L14" s="8"/>
      <c r="M14" s="9"/>
      <c r="N14" s="9"/>
    </row>
    <row r="15" spans="2:15" x14ac:dyDescent="0.2">
      <c r="B15" s="5">
        <v>8</v>
      </c>
      <c r="C15" s="5" t="s">
        <v>22</v>
      </c>
      <c r="D15" s="6" t="str">
        <f t="shared" si="0"/>
        <v>resumen_montos_facturados_TD_AR_CDpRGL_2410def.xlsx</v>
      </c>
      <c r="E15" s="5" t="s">
        <v>22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8"/>
      <c r="L15" s="8"/>
      <c r="M15" s="9"/>
      <c r="N15" s="9"/>
    </row>
    <row r="16" spans="2:15" x14ac:dyDescent="0.2">
      <c r="B16" s="5">
        <v>9</v>
      </c>
      <c r="C16" s="5" t="s">
        <v>23</v>
      </c>
      <c r="D16" s="6" t="str">
        <f t="shared" si="0"/>
        <v>resumen_montos_facturados_TD_AR_CDpRGL_2410def.xlsx</v>
      </c>
      <c r="E16" s="5" t="s">
        <v>23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8"/>
      <c r="L16" s="8"/>
      <c r="M16" s="9"/>
      <c r="N16" s="9"/>
    </row>
    <row r="17" spans="2:14" x14ac:dyDescent="0.2">
      <c r="B17" s="5">
        <v>10</v>
      </c>
      <c r="C17" s="5" t="s">
        <v>24</v>
      </c>
      <c r="D17" s="6" t="str">
        <f t="shared" si="0"/>
        <v>resumen_montos_facturados_TD_AR_CDpRGL_2410def.xlsx</v>
      </c>
      <c r="E17" s="5" t="s">
        <v>24</v>
      </c>
      <c r="F17" s="7">
        <v>99612592.739000008</v>
      </c>
      <c r="G17" s="7">
        <v>577285819.03400004</v>
      </c>
      <c r="H17" s="7">
        <v>535261</v>
      </c>
      <c r="I17" s="7">
        <v>1262498.5719999999</v>
      </c>
      <c r="J17" s="7">
        <v>452672201.40134299</v>
      </c>
      <c r="K17" s="8"/>
      <c r="L17" s="8"/>
      <c r="M17" s="9"/>
      <c r="N17" s="9"/>
    </row>
    <row r="18" spans="2:14" x14ac:dyDescent="0.2">
      <c r="B18" s="5">
        <v>11</v>
      </c>
      <c r="C18" s="5" t="s">
        <v>25</v>
      </c>
      <c r="D18" s="6" t="str">
        <f t="shared" si="0"/>
        <v>resumen_montos_facturados_TD_AR_CDpRGL_2410def.xlsx</v>
      </c>
      <c r="E18" s="5" t="s">
        <v>25</v>
      </c>
      <c r="F18" s="7">
        <v>124916</v>
      </c>
      <c r="G18" s="7">
        <v>2350374.5529999998</v>
      </c>
      <c r="H18" s="7">
        <v>0</v>
      </c>
      <c r="I18" s="7">
        <v>17249</v>
      </c>
      <c r="J18" s="7">
        <v>1876473.6401569119</v>
      </c>
      <c r="K18" s="8"/>
      <c r="L18" s="8"/>
      <c r="M18" s="9"/>
      <c r="N18" s="9"/>
    </row>
    <row r="19" spans="2:14" x14ac:dyDescent="0.2">
      <c r="B19" s="5">
        <v>12</v>
      </c>
      <c r="C19" s="5" t="s">
        <v>26</v>
      </c>
      <c r="D19" s="6" t="str">
        <f t="shared" si="0"/>
        <v>resumen_montos_facturados_TD_AR_CDpRGL_2410def.xlsx</v>
      </c>
      <c r="E19" s="5" t="s">
        <v>26</v>
      </c>
      <c r="F19" s="7">
        <v>32570199.870000001</v>
      </c>
      <c r="G19" s="7">
        <v>70264417.353</v>
      </c>
      <c r="H19" s="7">
        <v>1138181.7109999999</v>
      </c>
      <c r="I19" s="7">
        <v>170381.96400000001</v>
      </c>
      <c r="J19" s="7">
        <v>-77482138.517105848</v>
      </c>
      <c r="K19" s="8"/>
      <c r="L19" s="8"/>
      <c r="M19" s="9"/>
      <c r="N19" s="9"/>
    </row>
    <row r="20" spans="2:14" x14ac:dyDescent="0.2">
      <c r="B20" s="5">
        <v>13</v>
      </c>
      <c r="C20" s="5" t="s">
        <v>27</v>
      </c>
      <c r="D20" s="6" t="str">
        <f t="shared" si="0"/>
        <v>resumen_montos_facturados_TD_AR_CDpRGL_2410def.xlsx</v>
      </c>
      <c r="E20" s="5" t="s">
        <v>27</v>
      </c>
      <c r="F20" s="7">
        <v>3244522.9169999999</v>
      </c>
      <c r="G20" s="7">
        <v>18023899.783</v>
      </c>
      <c r="H20" s="7">
        <v>0</v>
      </c>
      <c r="I20" s="7">
        <v>16943.004000000001</v>
      </c>
      <c r="J20" s="7">
        <v>17540757.235220559</v>
      </c>
      <c r="K20" s="8"/>
      <c r="L20" s="8"/>
      <c r="M20" s="9"/>
      <c r="N20" s="9"/>
    </row>
    <row r="21" spans="2:14" x14ac:dyDescent="0.2">
      <c r="B21" s="5">
        <v>14</v>
      </c>
      <c r="C21" s="5" t="s">
        <v>28</v>
      </c>
      <c r="D21" s="6" t="str">
        <f t="shared" si="0"/>
        <v>resumen_montos_facturados_TD_AR_CDpRGL_2410def.xlsx</v>
      </c>
      <c r="E21" s="5" t="s">
        <v>28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8"/>
      <c r="L21" s="8"/>
      <c r="M21" s="9"/>
      <c r="N21" s="9"/>
    </row>
    <row r="22" spans="2:14" x14ac:dyDescent="0.2">
      <c r="B22" s="5">
        <v>15</v>
      </c>
      <c r="C22" s="5" t="s">
        <v>29</v>
      </c>
      <c r="D22" s="6" t="str">
        <f t="shared" si="0"/>
        <v>resumen_montos_facturados_TD_AR_CDpRGL_2410def.xlsx</v>
      </c>
      <c r="E22" s="5" t="s">
        <v>29</v>
      </c>
      <c r="F22" s="7">
        <v>1337677</v>
      </c>
      <c r="G22" s="7">
        <v>7924621</v>
      </c>
      <c r="H22" s="7">
        <v>880</v>
      </c>
      <c r="I22" s="7">
        <v>17333</v>
      </c>
      <c r="J22" s="7">
        <v>7008464.6240300788</v>
      </c>
      <c r="K22" s="8"/>
      <c r="L22" s="8"/>
      <c r="M22" s="9"/>
      <c r="N22" s="9"/>
    </row>
    <row r="23" spans="2:14" x14ac:dyDescent="0.2">
      <c r="B23" s="5">
        <v>16</v>
      </c>
      <c r="C23" s="5" t="s">
        <v>30</v>
      </c>
      <c r="D23" s="6" t="str">
        <f t="shared" si="0"/>
        <v>resumen_montos_facturados_TD_AR_CDpRGL_2410def.xlsx</v>
      </c>
      <c r="E23" s="5" t="s">
        <v>30</v>
      </c>
      <c r="F23" s="7">
        <v>4035448</v>
      </c>
      <c r="G23" s="7">
        <v>13663454</v>
      </c>
      <c r="H23" s="7">
        <v>687984</v>
      </c>
      <c r="I23" s="7">
        <v>116064</v>
      </c>
      <c r="J23" s="7">
        <v>11931969.26081799</v>
      </c>
      <c r="K23" s="8"/>
      <c r="L23" s="8"/>
      <c r="M23" s="9"/>
      <c r="N23" s="9"/>
    </row>
    <row r="24" spans="2:14" x14ac:dyDescent="0.2">
      <c r="B24" s="5">
        <v>17</v>
      </c>
      <c r="C24" s="5" t="s">
        <v>31</v>
      </c>
      <c r="D24" s="6" t="str">
        <f t="shared" si="0"/>
        <v>resumen_montos_facturados_TD_AR_CDpRGL_2410def.xlsx</v>
      </c>
      <c r="E24" s="5" t="s">
        <v>31</v>
      </c>
      <c r="F24" s="7">
        <v>1680286</v>
      </c>
      <c r="G24" s="7">
        <v>13303288</v>
      </c>
      <c r="H24" s="7">
        <v>85</v>
      </c>
      <c r="I24" s="7">
        <v>62987</v>
      </c>
      <c r="J24" s="7">
        <v>10027677.736917689</v>
      </c>
      <c r="K24" s="8"/>
      <c r="L24" s="8"/>
      <c r="M24" s="9"/>
      <c r="N24" s="9"/>
    </row>
    <row r="25" spans="2:14" x14ac:dyDescent="0.2">
      <c r="B25" s="5">
        <v>18</v>
      </c>
      <c r="C25" s="5" t="s">
        <v>32</v>
      </c>
      <c r="D25" s="6" t="str">
        <f t="shared" si="0"/>
        <v>resumen_montos_facturados_TD_AR_CDpRGL_2410def.xlsx</v>
      </c>
      <c r="E25" s="5" t="s">
        <v>32</v>
      </c>
      <c r="F25" s="7">
        <v>422574</v>
      </c>
      <c r="G25" s="7">
        <v>2515825</v>
      </c>
      <c r="H25" s="7">
        <v>93373</v>
      </c>
      <c r="I25" s="7">
        <v>37668</v>
      </c>
      <c r="J25" s="7">
        <v>2370370.3557930738</v>
      </c>
      <c r="K25" s="8"/>
      <c r="L25" s="8"/>
      <c r="M25" s="9"/>
      <c r="N25" s="9"/>
    </row>
    <row r="26" spans="2:14" x14ac:dyDescent="0.2">
      <c r="B26" s="5">
        <v>19</v>
      </c>
      <c r="C26" s="5" t="s">
        <v>33</v>
      </c>
      <c r="D26" s="6" t="str">
        <f t="shared" si="0"/>
        <v>resumen_montos_facturados_TD_AR_CDpRGL_2410def.xlsx</v>
      </c>
      <c r="E26" s="5" t="s">
        <v>33</v>
      </c>
      <c r="F26" s="7">
        <v>1033516</v>
      </c>
      <c r="G26" s="7">
        <v>1899168</v>
      </c>
      <c r="H26" s="7">
        <v>102954</v>
      </c>
      <c r="I26" s="7">
        <v>6473</v>
      </c>
      <c r="J26" s="7">
        <v>2233429.155970138</v>
      </c>
      <c r="K26" s="8"/>
      <c r="L26" s="8"/>
      <c r="M26" s="9"/>
      <c r="N26" s="9"/>
    </row>
    <row r="27" spans="2:14" x14ac:dyDescent="0.2">
      <c r="B27" s="5">
        <v>20</v>
      </c>
      <c r="C27" s="5" t="s">
        <v>34</v>
      </c>
      <c r="D27" s="6" t="str">
        <f t="shared" si="0"/>
        <v>resumen_montos_facturados_TD_AR_CDpRGL_2410def.xlsx</v>
      </c>
      <c r="E27" s="5" t="s">
        <v>34</v>
      </c>
      <c r="F27" s="7">
        <v>1232712</v>
      </c>
      <c r="G27" s="7">
        <v>6789432</v>
      </c>
      <c r="H27" s="7">
        <v>267955</v>
      </c>
      <c r="I27" s="7">
        <v>76826</v>
      </c>
      <c r="J27" s="7">
        <v>4825462.7529364359</v>
      </c>
      <c r="K27" s="8"/>
      <c r="L27" s="8"/>
      <c r="M27" s="9"/>
      <c r="N27" s="9"/>
    </row>
    <row r="28" spans="2:14" x14ac:dyDescent="0.2">
      <c r="B28" s="5">
        <v>21</v>
      </c>
      <c r="C28" s="5" t="s">
        <v>35</v>
      </c>
      <c r="D28" s="6" t="str">
        <f t="shared" si="0"/>
        <v>resumen_montos_facturados_TD_AR_CDpRGL_2410def.xlsx</v>
      </c>
      <c r="E28" s="5" t="s">
        <v>35</v>
      </c>
      <c r="F28" s="7">
        <v>18146722.66</v>
      </c>
      <c r="G28" s="7">
        <v>65344272.25</v>
      </c>
      <c r="H28" s="7">
        <v>283367.23</v>
      </c>
      <c r="I28" s="7">
        <v>110007.8</v>
      </c>
      <c r="J28" s="7">
        <v>46945515.320332028</v>
      </c>
      <c r="K28" s="8"/>
      <c r="L28" s="8"/>
      <c r="M28" s="9"/>
      <c r="N28" s="9"/>
    </row>
    <row r="29" spans="2:14" x14ac:dyDescent="0.2">
      <c r="B29" s="5">
        <v>22</v>
      </c>
      <c r="C29" s="5" t="s">
        <v>36</v>
      </c>
      <c r="D29" s="6" t="str">
        <f t="shared" si="0"/>
        <v>resumen_montos_facturados_TD_AR_CDpRGL_2410def.xlsx</v>
      </c>
      <c r="E29" s="5" t="s">
        <v>36</v>
      </c>
      <c r="F29" s="7">
        <v>7623977.3300000001</v>
      </c>
      <c r="G29" s="7">
        <v>6686820.3399999999</v>
      </c>
      <c r="H29" s="7">
        <v>128632</v>
      </c>
      <c r="I29" s="7">
        <v>6261</v>
      </c>
      <c r="J29" s="7">
        <v>10258763.20482293</v>
      </c>
      <c r="K29" s="8"/>
      <c r="L29" s="8"/>
      <c r="M29" s="9"/>
      <c r="N29" s="9"/>
    </row>
    <row r="30" spans="2:14" x14ac:dyDescent="0.2">
      <c r="B30" s="5">
        <v>23</v>
      </c>
      <c r="C30" s="5" t="s">
        <v>37</v>
      </c>
      <c r="D30" s="6" t="str">
        <f t="shared" si="0"/>
        <v>resumen_montos_facturados_TD_AR_CDpRGL_2410def.xlsx</v>
      </c>
      <c r="E30" s="5" t="s">
        <v>37</v>
      </c>
      <c r="F30" s="7">
        <v>39086898.990000002</v>
      </c>
      <c r="G30" s="7">
        <v>116325295.42</v>
      </c>
      <c r="H30" s="7">
        <v>139457.94</v>
      </c>
      <c r="I30" s="7">
        <v>133164.53</v>
      </c>
      <c r="J30" s="7">
        <v>105491796.6733509</v>
      </c>
      <c r="K30" s="8"/>
      <c r="L30" s="8"/>
      <c r="M30" s="9"/>
      <c r="N30" s="9"/>
    </row>
    <row r="31" spans="2:14" x14ac:dyDescent="0.2">
      <c r="B31" s="5">
        <v>24</v>
      </c>
      <c r="C31" s="5" t="s">
        <v>38</v>
      </c>
      <c r="D31" s="6" t="str">
        <f t="shared" si="0"/>
        <v>resumen_montos_facturados_TD_AR_CDpRGL_2410def.xlsx</v>
      </c>
      <c r="E31" s="5" t="s">
        <v>38</v>
      </c>
      <c r="F31" s="7">
        <v>1633663</v>
      </c>
      <c r="G31" s="7">
        <v>2991038</v>
      </c>
      <c r="H31" s="7">
        <v>29315</v>
      </c>
      <c r="I31" s="7">
        <v>38586</v>
      </c>
      <c r="J31" s="7">
        <v>2744025.840553659</v>
      </c>
      <c r="K31" s="8"/>
      <c r="L31" s="8"/>
      <c r="M31" s="9"/>
      <c r="N31" s="9"/>
    </row>
    <row r="32" spans="2:14" x14ac:dyDescent="0.2">
      <c r="B32" s="5">
        <v>25</v>
      </c>
      <c r="C32" s="5" t="s">
        <v>39</v>
      </c>
      <c r="D32" s="6" t="str">
        <f t="shared" si="0"/>
        <v>resumen_montos_facturados_TD_AR_CDpRGL_2410def.xlsx</v>
      </c>
      <c r="E32" s="5" t="s">
        <v>39</v>
      </c>
      <c r="F32" s="7">
        <v>32427172.100000001</v>
      </c>
      <c r="G32" s="7">
        <v>132226811.75320999</v>
      </c>
      <c r="H32" s="7">
        <v>2256334.4</v>
      </c>
      <c r="I32" s="7">
        <v>621627.5</v>
      </c>
      <c r="J32" s="7">
        <v>-122976789.99862771</v>
      </c>
      <c r="K32" s="8"/>
      <c r="L32" s="8"/>
      <c r="M32" s="9"/>
      <c r="N32" s="9"/>
    </row>
    <row r="33" spans="2:14" x14ac:dyDescent="0.2">
      <c r="B33" s="5">
        <v>26</v>
      </c>
      <c r="C33" s="5" t="s">
        <v>40</v>
      </c>
      <c r="D33" s="6" t="str">
        <f t="shared" si="0"/>
        <v>resumen_montos_facturados_TD_AR_CDpRGL_2410def.xlsx</v>
      </c>
      <c r="E33" s="5" t="s">
        <v>40</v>
      </c>
      <c r="F33" s="7">
        <v>1140659.8</v>
      </c>
      <c r="G33" s="7">
        <v>2185959.2999999998</v>
      </c>
      <c r="H33" s="7">
        <v>68454</v>
      </c>
      <c r="I33" s="7">
        <v>105087</v>
      </c>
      <c r="J33" s="7">
        <v>2245052.9382358948</v>
      </c>
      <c r="K33" s="8"/>
      <c r="L33" s="8"/>
      <c r="M33" s="9"/>
      <c r="N33" s="9"/>
    </row>
    <row r="34" spans="2:14" x14ac:dyDescent="0.2">
      <c r="B34" s="5">
        <v>27</v>
      </c>
      <c r="C34" s="5" t="s">
        <v>41</v>
      </c>
      <c r="D34" s="6" t="str">
        <f t="shared" si="0"/>
        <v>resumen_montos_facturados_TD_AR_CDpRGL_2410def.xlsx</v>
      </c>
      <c r="E34" s="5" t="s">
        <v>41</v>
      </c>
      <c r="F34" s="7">
        <v>1292871.5</v>
      </c>
      <c r="G34" s="7">
        <v>9543185.6530000009</v>
      </c>
      <c r="H34" s="7">
        <v>11389</v>
      </c>
      <c r="I34" s="7">
        <v>38559</v>
      </c>
      <c r="J34" s="7">
        <v>7384772.5435923096</v>
      </c>
      <c r="K34" s="8"/>
      <c r="L34" s="8"/>
      <c r="M34" s="9"/>
      <c r="N34" s="9"/>
    </row>
    <row r="35" spans="2:14" x14ac:dyDescent="0.2">
      <c r="B35" s="5">
        <v>28</v>
      </c>
      <c r="C35" s="5" t="s">
        <v>42</v>
      </c>
      <c r="D35" s="6" t="str">
        <f t="shared" si="0"/>
        <v>resumen_montos_facturados_TD_AR_CDpRGL_2410def.xlsx</v>
      </c>
      <c r="E35" s="5" t="s">
        <v>42</v>
      </c>
      <c r="F35" s="7">
        <v>2279830.2000000002</v>
      </c>
      <c r="G35" s="7">
        <v>5982451.7654999997</v>
      </c>
      <c r="H35" s="7">
        <v>235307</v>
      </c>
      <c r="I35" s="7">
        <v>43330.176800000001</v>
      </c>
      <c r="J35" s="7">
        <v>4709351.3544560764</v>
      </c>
      <c r="K35" s="8"/>
      <c r="L35" s="8"/>
      <c r="M35" s="9"/>
      <c r="N35" s="9"/>
    </row>
    <row r="36" spans="2:14" x14ac:dyDescent="0.2">
      <c r="B36" s="5">
        <v>29</v>
      </c>
      <c r="C36" s="5" t="s">
        <v>43</v>
      </c>
      <c r="D36" s="6" t="str">
        <f t="shared" si="0"/>
        <v>resumen_montos_facturados_TD_AR_CDpRGL_2410def.xlsx</v>
      </c>
      <c r="E36" s="5" t="s">
        <v>43</v>
      </c>
      <c r="F36" s="7">
        <v>1736762.9001</v>
      </c>
      <c r="G36" s="7">
        <v>4296663.1634999998</v>
      </c>
      <c r="H36" s="7">
        <v>316227.20000000001</v>
      </c>
      <c r="I36" s="7">
        <v>72725.100000000006</v>
      </c>
      <c r="J36" s="7">
        <v>3460730.491394124</v>
      </c>
      <c r="K36" s="8"/>
      <c r="L36" s="8"/>
      <c r="M36" s="9"/>
      <c r="N36" s="9"/>
    </row>
    <row r="37" spans="2:14" x14ac:dyDescent="0.2">
      <c r="B37" s="5">
        <v>30</v>
      </c>
      <c r="C37" s="5" t="s">
        <v>44</v>
      </c>
      <c r="D37" s="6" t="str">
        <f t="shared" si="0"/>
        <v>resumen_montos_facturados_TD_AR_CDpRGL_2410def.xlsx</v>
      </c>
      <c r="E37" s="5" t="s">
        <v>45</v>
      </c>
      <c r="F37" s="7">
        <v>500440.00000000012</v>
      </c>
      <c r="G37" s="7">
        <v>824926</v>
      </c>
      <c r="H37" s="7">
        <v>31694</v>
      </c>
      <c r="I37" s="7">
        <v>11501</v>
      </c>
      <c r="J37" s="7">
        <v>761347.13323406805</v>
      </c>
      <c r="K37" s="8"/>
      <c r="L37" s="8"/>
      <c r="M37" s="9"/>
      <c r="N37" s="9"/>
    </row>
    <row r="38" spans="2:14" x14ac:dyDescent="0.2">
      <c r="B38" s="5">
        <v>31</v>
      </c>
      <c r="C38" s="5" t="s">
        <v>46</v>
      </c>
      <c r="D38" s="6" t="str">
        <f t="shared" si="0"/>
        <v>resumen_montos_facturados_TD_AR_CDpRGL_2410def.xlsx</v>
      </c>
      <c r="E38" s="5" t="s">
        <v>46</v>
      </c>
      <c r="F38" s="7">
        <v>4050077.4360000002</v>
      </c>
      <c r="G38" s="7">
        <v>16871536.622000001</v>
      </c>
      <c r="H38" s="7">
        <v>3639.0010000000002</v>
      </c>
      <c r="I38" s="7">
        <v>27289.016</v>
      </c>
      <c r="J38" s="7">
        <v>14822032.38832281</v>
      </c>
      <c r="K38" s="8"/>
      <c r="L38" s="8"/>
      <c r="M38" s="9"/>
      <c r="N38" s="9"/>
    </row>
    <row r="39" spans="2:14" x14ac:dyDescent="0.2">
      <c r="B39" s="5">
        <v>32</v>
      </c>
      <c r="C39" s="5" t="s">
        <v>47</v>
      </c>
      <c r="D39" s="6" t="str">
        <f t="shared" si="0"/>
        <v>resumen_montos_facturados_TD_AR_CDpRGL_2410def.xlsx</v>
      </c>
      <c r="E39" s="5" t="s">
        <v>47</v>
      </c>
      <c r="F39" s="7">
        <v>5965058.4289999995</v>
      </c>
      <c r="G39" s="7">
        <v>26994305.197000001</v>
      </c>
      <c r="H39" s="7">
        <v>14725.08</v>
      </c>
      <c r="I39" s="7">
        <v>23232.508000000002</v>
      </c>
      <c r="J39" s="7">
        <v>21737050.612065919</v>
      </c>
      <c r="K39" s="8"/>
      <c r="L39" s="8"/>
      <c r="M39" s="9"/>
      <c r="N39" s="9"/>
    </row>
    <row r="40" spans="2:14" x14ac:dyDescent="0.2">
      <c r="B40" s="5">
        <v>33</v>
      </c>
      <c r="C40" s="5" t="s">
        <v>48</v>
      </c>
      <c r="D40" s="6" t="str">
        <f t="shared" si="0"/>
        <v>resumen_montos_facturados_TD_AR_CDpRGL_2410def.xlsx</v>
      </c>
      <c r="E40" s="5" t="s">
        <v>48</v>
      </c>
      <c r="F40" s="7">
        <v>13073514.904999999</v>
      </c>
      <c r="G40" s="7">
        <v>50157817.648999996</v>
      </c>
      <c r="H40" s="7">
        <v>30706.560000000001</v>
      </c>
      <c r="I40" s="7">
        <v>72807.678</v>
      </c>
      <c r="J40" s="7">
        <v>-106264244.3189258</v>
      </c>
      <c r="K40" s="8"/>
      <c r="L40" s="8"/>
      <c r="M40" s="9"/>
      <c r="N40" s="9"/>
    </row>
    <row r="41" spans="2:14" x14ac:dyDescent="0.2">
      <c r="B41" s="5">
        <v>34</v>
      </c>
      <c r="C41" s="5" t="s">
        <v>49</v>
      </c>
      <c r="D41" s="6" t="str">
        <f t="shared" si="0"/>
        <v>resumen_montos_facturados_TD_AR_CDpRGL_2410def.xlsx</v>
      </c>
      <c r="E41" s="5" t="s">
        <v>49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8"/>
      <c r="L41" s="8"/>
      <c r="M41" s="9"/>
      <c r="N41" s="9"/>
    </row>
    <row r="42" spans="2:14" x14ac:dyDescent="0.2">
      <c r="B42" s="5">
        <v>35</v>
      </c>
      <c r="C42" s="5" t="s">
        <v>50</v>
      </c>
      <c r="D42" s="6" t="str">
        <f t="shared" si="0"/>
        <v>resumen_montos_facturados_TD_AR_CDpRGL_2410def.xlsx</v>
      </c>
      <c r="E42" s="5" t="s">
        <v>50</v>
      </c>
      <c r="F42" s="7">
        <v>0</v>
      </c>
      <c r="G42" s="7">
        <v>6319.3</v>
      </c>
      <c r="H42" s="7">
        <v>0</v>
      </c>
      <c r="I42" s="7">
        <v>0</v>
      </c>
      <c r="J42" s="7">
        <v>7030.7555468149994</v>
      </c>
      <c r="K42" s="8"/>
      <c r="L42" s="8"/>
      <c r="M42" s="9"/>
      <c r="N42" s="9"/>
    </row>
    <row r="43" spans="2:14" x14ac:dyDescent="0.2">
      <c r="B43" s="5">
        <v>36</v>
      </c>
      <c r="C43" s="5" t="s">
        <v>51</v>
      </c>
      <c r="D43" s="6" t="str">
        <f t="shared" si="0"/>
        <v>resumen_montos_facturados_TD_AR_CDpRGL_2410def.xlsx</v>
      </c>
      <c r="E43" s="5" t="s">
        <v>51</v>
      </c>
      <c r="F43" s="7">
        <v>30000.9</v>
      </c>
      <c r="G43" s="7">
        <v>49706.2</v>
      </c>
      <c r="H43" s="7">
        <v>0</v>
      </c>
      <c r="I43" s="7">
        <v>0</v>
      </c>
      <c r="J43" s="7">
        <v>-2077724.0790498359</v>
      </c>
      <c r="K43" s="8"/>
      <c r="L43" s="8"/>
      <c r="M43" s="9"/>
      <c r="N43" s="9"/>
    </row>
    <row r="44" spans="2:14" x14ac:dyDescent="0.2">
      <c r="B44" s="10" t="s">
        <v>52</v>
      </c>
      <c r="C44" s="11"/>
      <c r="D44" s="11"/>
      <c r="E44" s="12"/>
      <c r="F44" s="13">
        <f>SUM(F8:F43)</f>
        <v>418782840.21509999</v>
      </c>
      <c r="G44" s="13">
        <f>SUM(G8:G43)</f>
        <v>1652358746.58022</v>
      </c>
      <c r="H44" s="13">
        <f>SUM(H8:H43)</f>
        <v>12864231.053000001</v>
      </c>
      <c r="I44" s="13">
        <f>SUM(I8:I43)</f>
        <v>4578213.0927999998</v>
      </c>
      <c r="J44" s="13">
        <f>SUM(J8:J43)</f>
        <v>36578158.991357744</v>
      </c>
      <c r="K44" s="8"/>
      <c r="L44" s="8"/>
      <c r="M44" s="9"/>
      <c r="N44" s="9"/>
    </row>
    <row r="45" spans="2:14" x14ac:dyDescent="0.2">
      <c r="M45" s="9"/>
      <c r="N45" s="9"/>
    </row>
    <row r="46" spans="2:14" x14ac:dyDescent="0.2">
      <c r="F46" s="15"/>
      <c r="G46" s="15"/>
      <c r="H46" s="15"/>
      <c r="I46" s="15"/>
      <c r="J46" s="15"/>
      <c r="N46" s="9"/>
    </row>
  </sheetData>
  <mergeCells count="6">
    <mergeCell ref="E2:F2"/>
    <mergeCell ref="B3:C3"/>
    <mergeCell ref="B6:B7"/>
    <mergeCell ref="C6:C7"/>
    <mergeCell ref="D6:D7"/>
    <mergeCell ref="E6:E7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E803-BB81-449B-81C2-BBC4B0DF008D}">
  <sheetPr codeName="Hoja9">
    <tabColor theme="6" tint="0.59999389629810485"/>
  </sheetPr>
  <dimension ref="B2:R53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17"/>
    <col min="2" max="2" width="21" style="17" customWidth="1"/>
    <col min="3" max="3" width="14.28515625" style="17" bestFit="1" customWidth="1"/>
    <col min="4" max="4" width="15.42578125" style="17" bestFit="1" customWidth="1"/>
    <col min="5" max="5" width="13.5703125" style="17" customWidth="1"/>
    <col min="6" max="6" width="11.7109375" style="17" customWidth="1"/>
    <col min="7" max="7" width="11.5703125" style="17" bestFit="1" customWidth="1"/>
    <col min="8" max="8" width="13.42578125" style="17" bestFit="1" customWidth="1"/>
    <col min="9" max="9" width="16.140625" style="17" bestFit="1" customWidth="1"/>
    <col min="10" max="10" width="17.140625" style="17" customWidth="1"/>
    <col min="11" max="11" width="16.140625" style="17" customWidth="1"/>
    <col min="12" max="12" width="14.5703125" style="17" bestFit="1" customWidth="1"/>
    <col min="13" max="13" width="22.85546875" style="17" bestFit="1" customWidth="1"/>
    <col min="14" max="14" width="15.85546875" style="17" bestFit="1" customWidth="1"/>
    <col min="15" max="15" width="21.85546875" style="17" customWidth="1"/>
    <col min="16" max="16" width="11.5703125" style="17" bestFit="1" customWidth="1"/>
    <col min="17" max="17" width="14.42578125" style="17" customWidth="1"/>
    <col min="18" max="16384" width="11.42578125" style="17"/>
  </cols>
  <sheetData>
    <row r="2" spans="2:18" x14ac:dyDescent="0.2">
      <c r="B2" s="16" t="s">
        <v>56</v>
      </c>
      <c r="C2" s="16"/>
      <c r="D2" s="16"/>
    </row>
    <row r="3" spans="2:18" x14ac:dyDescent="0.2">
      <c r="B3" s="18">
        <f>FechaFacturacion</f>
        <v>45566</v>
      </c>
      <c r="C3" s="19"/>
      <c r="D3" s="19"/>
      <c r="I3" s="20" t="s">
        <v>57</v>
      </c>
      <c r="J3" s="21"/>
      <c r="K3" s="21"/>
    </row>
    <row r="4" spans="2:18" x14ac:dyDescent="0.2">
      <c r="B4" s="22"/>
      <c r="D4" s="19"/>
      <c r="I4" s="23">
        <v>9.7570308016070584E-3</v>
      </c>
      <c r="J4" s="24"/>
      <c r="K4" s="24"/>
      <c r="L4" s="25"/>
    </row>
    <row r="6" spans="2:18" ht="12.75" customHeight="1" x14ac:dyDescent="0.2">
      <c r="B6" s="102" t="s">
        <v>6</v>
      </c>
      <c r="C6" s="102" t="s">
        <v>7</v>
      </c>
      <c r="D6" s="102" t="s">
        <v>8</v>
      </c>
      <c r="E6" s="102" t="s">
        <v>9</v>
      </c>
      <c r="F6" s="102" t="s">
        <v>10</v>
      </c>
      <c r="G6" s="102" t="s">
        <v>53</v>
      </c>
      <c r="H6" s="102" t="str">
        <f>"Saldo "&amp;TEXT(B3-1,"mmmmmmmmmm")</f>
        <v>Saldo septiembre</v>
      </c>
      <c r="I6" s="102" t="s">
        <v>58</v>
      </c>
      <c r="J6" s="102" t="s">
        <v>59</v>
      </c>
      <c r="K6" s="102" t="s">
        <v>60</v>
      </c>
      <c r="L6" s="105" t="s">
        <v>61</v>
      </c>
      <c r="M6" s="102" t="s">
        <v>62</v>
      </c>
      <c r="N6" s="100" t="s">
        <v>63</v>
      </c>
      <c r="O6" s="102" t="s">
        <v>64</v>
      </c>
      <c r="P6" s="102" t="s">
        <v>65</v>
      </c>
      <c r="R6" s="29"/>
    </row>
    <row r="7" spans="2:18" ht="12.75" customHeight="1" x14ac:dyDescent="0.2">
      <c r="B7" s="106"/>
      <c r="C7" s="103"/>
      <c r="D7" s="103"/>
      <c r="E7" s="103"/>
      <c r="F7" s="103"/>
      <c r="G7" s="103"/>
      <c r="H7" s="104"/>
      <c r="I7" s="103"/>
      <c r="J7" s="103"/>
      <c r="K7" s="103"/>
      <c r="L7" s="105"/>
      <c r="M7" s="103"/>
      <c r="N7" s="101"/>
      <c r="O7" s="103"/>
      <c r="P7" s="103"/>
    </row>
    <row r="8" spans="2:18" ht="13.5" customHeight="1" x14ac:dyDescent="0.2">
      <c r="B8" s="106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/>
      <c r="K8" s="26"/>
      <c r="L8" s="26" t="s">
        <v>13</v>
      </c>
      <c r="M8" s="26" t="s">
        <v>13</v>
      </c>
      <c r="N8" s="28" t="s">
        <v>13</v>
      </c>
      <c r="O8" s="27" t="s">
        <v>13</v>
      </c>
      <c r="P8" s="27" t="s">
        <v>13</v>
      </c>
    </row>
    <row r="9" spans="2:18" x14ac:dyDescent="0.2">
      <c r="B9" s="30" t="s">
        <v>14</v>
      </c>
      <c r="C9" s="31">
        <f>SUMIF('Entrada TD'!$E$8:$E$43,'Reliquidación TD'!$B9,'Entrada TD'!F$8:F$43)</f>
        <v>1369056</v>
      </c>
      <c r="D9" s="31">
        <f>SUMIF('Entrada TD'!$E$8:$E$43,'Reliquidación TD'!$B9,'Entrada TD'!G$8:G$43)</f>
        <v>3036897</v>
      </c>
      <c r="E9" s="31">
        <f>SUMIF('Entrada TD'!$E$8:$E$43,'Reliquidación TD'!$B9,'Entrada TD'!H$8:H$43)</f>
        <v>145180</v>
      </c>
      <c r="F9" s="31">
        <f>SUMIF('Entrada TD'!$E$8:$E$43,'Reliquidación TD'!$B9,'Entrada TD'!I$8:I$43)</f>
        <v>29987</v>
      </c>
      <c r="G9" s="31">
        <f>SUMIF('Entrada TD'!$E$8:$E$43,'Reliquidación TD'!$B9,'Entrada TD'!J$8:J$43)</f>
        <v>0</v>
      </c>
      <c r="H9" s="31">
        <v>0</v>
      </c>
      <c r="I9" s="31">
        <f t="shared" ref="I9:I43" si="0">H9*($I$4+1)</f>
        <v>0</v>
      </c>
      <c r="J9" s="31">
        <v>0</v>
      </c>
      <c r="K9" s="31">
        <f>+J9*($I$4+1)</f>
        <v>0</v>
      </c>
      <c r="L9" s="31">
        <f>+G9+K9</f>
        <v>0</v>
      </c>
      <c r="M9" s="31">
        <f>IF(L9&lt;0,-L9,0)</f>
        <v>0</v>
      </c>
      <c r="N9" s="31">
        <f>IF(L9&gt;0,L9,0)</f>
        <v>0</v>
      </c>
      <c r="O9" s="31">
        <f t="shared" ref="O9:O43" si="1">IF(OR($M$44=0,$N$44=0),0,(M9/$M$44-N9/$N$44)*$N$49)</f>
        <v>0</v>
      </c>
      <c r="P9" s="31">
        <f t="shared" ref="P9:P43" si="2">L9+O9</f>
        <v>0</v>
      </c>
    </row>
    <row r="10" spans="2:18" x14ac:dyDescent="0.2">
      <c r="B10" s="32" t="s">
        <v>15</v>
      </c>
      <c r="C10" s="33">
        <f>SUMIF('Entrada TD'!$E$8:$E$43,'Reliquidación TD'!$B10,'Entrada TD'!F$8:F$43)</f>
        <v>736444</v>
      </c>
      <c r="D10" s="33">
        <f>SUMIF('Entrada TD'!$E$8:$E$43,'Reliquidación TD'!$B10,'Entrada TD'!G$8:G$43)</f>
        <v>2954329</v>
      </c>
      <c r="E10" s="33">
        <f>SUMIF('Entrada TD'!$E$8:$E$43,'Reliquidación TD'!$B10,'Entrada TD'!H$8:H$43)</f>
        <v>1383</v>
      </c>
      <c r="F10" s="33">
        <f>SUMIF('Entrada TD'!$E$8:$E$43,'Reliquidación TD'!$B10,'Entrada TD'!I$8:I$43)</f>
        <v>30387</v>
      </c>
      <c r="G10" s="33">
        <f>SUMIF('Entrada TD'!$E$8:$E$43,'Reliquidación TD'!$B10,'Entrada TD'!J$8:J$43)</f>
        <v>0</v>
      </c>
      <c r="H10" s="33">
        <v>0</v>
      </c>
      <c r="I10" s="33">
        <f t="shared" si="0"/>
        <v>0</v>
      </c>
      <c r="J10" s="33">
        <v>0</v>
      </c>
      <c r="K10" s="33">
        <f t="shared" ref="K10:K43" si="3">+J10*($I$4+1)</f>
        <v>0</v>
      </c>
      <c r="L10" s="33">
        <f t="shared" ref="L10:L43" si="4">+G10+K10</f>
        <v>0</v>
      </c>
      <c r="M10" s="33">
        <f t="shared" ref="M10:M43" si="5">IF(L10&lt;0,-L10,0)</f>
        <v>0</v>
      </c>
      <c r="N10" s="33">
        <f t="shared" ref="N10:N43" si="6">IF(L10&gt;0,L10,0)</f>
        <v>0</v>
      </c>
      <c r="O10" s="33">
        <f t="shared" si="1"/>
        <v>0</v>
      </c>
      <c r="P10" s="33">
        <f t="shared" si="2"/>
        <v>0</v>
      </c>
    </row>
    <row r="11" spans="2:18" x14ac:dyDescent="0.2">
      <c r="B11" s="32" t="s">
        <v>16</v>
      </c>
      <c r="C11" s="33">
        <f>SUMIF('Entrada TD'!$E$8:$E$43,'Reliquidación TD'!$B11,'Entrada TD'!F$8:F$43)</f>
        <v>1805683.4</v>
      </c>
      <c r="D11" s="33">
        <f>SUMIF('Entrada TD'!$E$8:$E$43,'Reliquidación TD'!$B11,'Entrada TD'!G$8:G$43)</f>
        <v>5971293.3500100002</v>
      </c>
      <c r="E11" s="33">
        <f>SUMIF('Entrada TD'!$E$8:$E$43,'Reliquidación TD'!$B11,'Entrada TD'!H$8:H$43)</f>
        <v>0</v>
      </c>
      <c r="F11" s="33">
        <f>SUMIF('Entrada TD'!$E$8:$E$43,'Reliquidación TD'!$B11,'Entrada TD'!I$8:I$43)</f>
        <v>13086.6</v>
      </c>
      <c r="G11" s="33">
        <f>SUMIF('Entrada TD'!$E$8:$E$43,'Reliquidación TD'!$B11,'Entrada TD'!J$8:J$43)</f>
        <v>0</v>
      </c>
      <c r="H11" s="33">
        <v>0</v>
      </c>
      <c r="I11" s="33">
        <f t="shared" si="0"/>
        <v>0</v>
      </c>
      <c r="J11" s="33">
        <v>0</v>
      </c>
      <c r="K11" s="33">
        <f t="shared" si="3"/>
        <v>0</v>
      </c>
      <c r="L11" s="33">
        <f t="shared" si="4"/>
        <v>0</v>
      </c>
      <c r="M11" s="33">
        <f t="shared" si="5"/>
        <v>0</v>
      </c>
      <c r="N11" s="33">
        <f t="shared" si="6"/>
        <v>0</v>
      </c>
      <c r="O11" s="33">
        <f t="shared" si="1"/>
        <v>0</v>
      </c>
      <c r="P11" s="33">
        <f t="shared" si="2"/>
        <v>0</v>
      </c>
    </row>
    <row r="12" spans="2:18" x14ac:dyDescent="0.2">
      <c r="B12" s="32" t="s">
        <v>17</v>
      </c>
      <c r="C12" s="33">
        <f>SUMIF('Entrada TD'!$E$8:$E$43,'Reliquidación TD'!$B12,'Entrada TD'!F$8:F$43)</f>
        <v>407838</v>
      </c>
      <c r="D12" s="33">
        <f>SUMIF('Entrada TD'!$E$8:$E$43,'Reliquidación TD'!$B12,'Entrada TD'!G$8:G$43)</f>
        <v>1342341</v>
      </c>
      <c r="E12" s="33">
        <f>SUMIF('Entrada TD'!$E$8:$E$43,'Reliquidación TD'!$B12,'Entrada TD'!H$8:H$43)</f>
        <v>0</v>
      </c>
      <c r="F12" s="33">
        <f>SUMIF('Entrada TD'!$E$8:$E$43,'Reliquidación TD'!$B12,'Entrada TD'!I$8:I$43)</f>
        <v>0</v>
      </c>
      <c r="G12" s="33">
        <f>SUMIF('Entrada TD'!$E$8:$E$43,'Reliquidación TD'!$B12,'Entrada TD'!J$8:J$43)</f>
        <v>0</v>
      </c>
      <c r="H12" s="33">
        <v>0</v>
      </c>
      <c r="I12" s="33">
        <f t="shared" si="0"/>
        <v>0</v>
      </c>
      <c r="J12" s="33">
        <v>0</v>
      </c>
      <c r="K12" s="33">
        <f t="shared" si="3"/>
        <v>0</v>
      </c>
      <c r="L12" s="33">
        <f t="shared" si="4"/>
        <v>0</v>
      </c>
      <c r="M12" s="33">
        <f t="shared" si="5"/>
        <v>0</v>
      </c>
      <c r="N12" s="33">
        <f t="shared" si="6"/>
        <v>0</v>
      </c>
      <c r="O12" s="33">
        <f t="shared" si="1"/>
        <v>0</v>
      </c>
      <c r="P12" s="33">
        <f t="shared" si="2"/>
        <v>0</v>
      </c>
    </row>
    <row r="13" spans="2:18" x14ac:dyDescent="0.2">
      <c r="B13" s="32" t="s">
        <v>18</v>
      </c>
      <c r="C13" s="33">
        <f>SUMIF('Entrada TD'!$E$8:$E$43,'Reliquidación TD'!$B13,'Entrada TD'!F$8:F$43)</f>
        <v>129685529.675</v>
      </c>
      <c r="D13" s="33">
        <f>SUMIF('Entrada TD'!$E$8:$E$43,'Reliquidación TD'!$B13,'Entrada TD'!G$8:G$43)</f>
        <v>463007299.80900002</v>
      </c>
      <c r="E13" s="33">
        <f>SUMIF('Entrada TD'!$E$8:$E$43,'Reliquidación TD'!$B13,'Entrada TD'!H$8:H$43)</f>
        <v>5592286.5279999999</v>
      </c>
      <c r="F13" s="33">
        <f>SUMIF('Entrada TD'!$E$8:$E$43,'Reliquidación TD'!$B13,'Entrada TD'!I$8:I$43)</f>
        <v>1342583.72</v>
      </c>
      <c r="G13" s="33">
        <f>SUMIF('Entrada TD'!$E$8:$E$43,'Reliquidación TD'!$B13,'Entrada TD'!J$8:J$43)</f>
        <v>552778.64538293437</v>
      </c>
      <c r="H13" s="33">
        <v>0</v>
      </c>
      <c r="I13" s="33">
        <f t="shared" si="0"/>
        <v>0</v>
      </c>
      <c r="J13" s="33">
        <v>0</v>
      </c>
      <c r="K13" s="33">
        <f t="shared" si="3"/>
        <v>0</v>
      </c>
      <c r="L13" s="33">
        <f t="shared" si="4"/>
        <v>552778.64538293437</v>
      </c>
      <c r="M13" s="33">
        <f t="shared" si="5"/>
        <v>0</v>
      </c>
      <c r="N13" s="33">
        <f t="shared" si="6"/>
        <v>552778.64538293437</v>
      </c>
      <c r="O13" s="33">
        <f t="shared" si="1"/>
        <v>-25263.949214624427</v>
      </c>
      <c r="P13" s="33">
        <f t="shared" si="2"/>
        <v>527514.69616830989</v>
      </c>
    </row>
    <row r="14" spans="2:18" x14ac:dyDescent="0.2">
      <c r="B14" s="32" t="s">
        <v>20</v>
      </c>
      <c r="C14" s="33">
        <f>SUMIF('Entrada TD'!$E$8:$E$43,'Reliquidación TD'!$B14,'Entrada TD'!F$8:F$43)</f>
        <v>233278</v>
      </c>
      <c r="D14" s="33">
        <f>SUMIF('Entrada TD'!$E$8:$E$43,'Reliquidación TD'!$B14,'Entrada TD'!G$8:G$43)</f>
        <v>913327.00399999996</v>
      </c>
      <c r="E14" s="33">
        <f>SUMIF('Entrada TD'!$E$8:$E$43,'Reliquidación TD'!$B14,'Entrada TD'!H$8:H$43)</f>
        <v>0</v>
      </c>
      <c r="F14" s="33">
        <f>SUMIF('Entrada TD'!$E$8:$E$43,'Reliquidación TD'!$B14,'Entrada TD'!I$8:I$43)</f>
        <v>0</v>
      </c>
      <c r="G14" s="33">
        <f>SUMIF('Entrada TD'!$E$8:$E$43,'Reliquidación TD'!$B14,'Entrada TD'!J$8:J$43)</f>
        <v>0</v>
      </c>
      <c r="H14" s="33">
        <v>0</v>
      </c>
      <c r="I14" s="33">
        <f>H14*($I$4+1)</f>
        <v>0</v>
      </c>
      <c r="J14" s="33">
        <v>0</v>
      </c>
      <c r="K14" s="33">
        <f t="shared" si="3"/>
        <v>0</v>
      </c>
      <c r="L14" s="33">
        <f t="shared" si="4"/>
        <v>0</v>
      </c>
      <c r="M14" s="33">
        <f t="shared" si="5"/>
        <v>0</v>
      </c>
      <c r="N14" s="33">
        <f t="shared" si="6"/>
        <v>0</v>
      </c>
      <c r="O14" s="33">
        <f t="shared" si="1"/>
        <v>0</v>
      </c>
      <c r="P14" s="33">
        <f t="shared" si="2"/>
        <v>0</v>
      </c>
    </row>
    <row r="15" spans="2:18" x14ac:dyDescent="0.2">
      <c r="B15" s="32" t="s">
        <v>21</v>
      </c>
      <c r="C15" s="33">
        <f>SUMIF('Entrada TD'!$E$8:$E$43,'Reliquidación TD'!$B15,'Entrada TD'!F$8:F$43)</f>
        <v>10262916.464</v>
      </c>
      <c r="D15" s="33">
        <f>SUMIF('Entrada TD'!$E$8:$E$43,'Reliquidación TD'!$B15,'Entrada TD'!G$8:G$43)</f>
        <v>20625852.081</v>
      </c>
      <c r="E15" s="33">
        <f>SUMIF('Entrada TD'!$E$8:$E$43,'Reliquidación TD'!$B15,'Entrada TD'!H$8:H$43)</f>
        <v>749459.40300000005</v>
      </c>
      <c r="F15" s="33">
        <f>SUMIF('Entrada TD'!$E$8:$E$43,'Reliquidación TD'!$B15,'Entrada TD'!I$8:I$43)</f>
        <v>73566.923999999999</v>
      </c>
      <c r="G15" s="33">
        <f>SUMIF('Entrada TD'!$E$8:$E$43,'Reliquidación TD'!$B15,'Entrada TD'!J$8:J$43)</f>
        <v>1258.473131636998</v>
      </c>
      <c r="H15" s="33">
        <v>0</v>
      </c>
      <c r="I15" s="33">
        <f t="shared" si="0"/>
        <v>0</v>
      </c>
      <c r="J15" s="33">
        <v>0</v>
      </c>
      <c r="K15" s="33">
        <f t="shared" si="3"/>
        <v>0</v>
      </c>
      <c r="L15" s="33">
        <f t="shared" si="4"/>
        <v>1258.473131636998</v>
      </c>
      <c r="M15" s="33">
        <f t="shared" si="5"/>
        <v>0</v>
      </c>
      <c r="N15" s="33">
        <f t="shared" si="6"/>
        <v>1258.473131636998</v>
      </c>
      <c r="O15" s="33">
        <f t="shared" si="1"/>
        <v>-57.516695970810083</v>
      </c>
      <c r="P15" s="33">
        <f t="shared" si="2"/>
        <v>1200.9564356661879</v>
      </c>
    </row>
    <row r="16" spans="2:18" x14ac:dyDescent="0.2">
      <c r="B16" s="32" t="s">
        <v>22</v>
      </c>
      <c r="C16" s="33">
        <f>SUMIF('Entrada TD'!$E$8:$E$43,'Reliquidación TD'!$B16,'Entrada TD'!F$8:F$43)</f>
        <v>0</v>
      </c>
      <c r="D16" s="33">
        <f>SUMIF('Entrada TD'!$E$8:$E$43,'Reliquidación TD'!$B16,'Entrada TD'!G$8:G$43)</f>
        <v>0</v>
      </c>
      <c r="E16" s="33">
        <f>SUMIF('Entrada TD'!$E$8:$E$43,'Reliquidación TD'!$B16,'Entrada TD'!H$8:H$43)</f>
        <v>0</v>
      </c>
      <c r="F16" s="33">
        <f>SUMIF('Entrada TD'!$E$8:$E$43,'Reliquidación TD'!$B16,'Entrada TD'!I$8:I$43)</f>
        <v>0</v>
      </c>
      <c r="G16" s="33">
        <f>SUMIF('Entrada TD'!$E$8:$E$43,'Reliquidación TD'!$B16,'Entrada TD'!J$8:J$43)</f>
        <v>0</v>
      </c>
      <c r="H16" s="33">
        <v>0</v>
      </c>
      <c r="I16" s="33">
        <f t="shared" si="0"/>
        <v>0</v>
      </c>
      <c r="J16" s="33">
        <v>0</v>
      </c>
      <c r="K16" s="33">
        <f t="shared" si="3"/>
        <v>0</v>
      </c>
      <c r="L16" s="33">
        <f t="shared" si="4"/>
        <v>0</v>
      </c>
      <c r="M16" s="33">
        <f t="shared" si="5"/>
        <v>0</v>
      </c>
      <c r="N16" s="33">
        <f t="shared" si="6"/>
        <v>0</v>
      </c>
      <c r="O16" s="33">
        <f t="shared" si="1"/>
        <v>0</v>
      </c>
      <c r="P16" s="33">
        <f t="shared" si="2"/>
        <v>0</v>
      </c>
    </row>
    <row r="17" spans="2:16" x14ac:dyDescent="0.2">
      <c r="B17" s="32" t="s">
        <v>23</v>
      </c>
      <c r="C17" s="33">
        <f>SUMIF('Entrada TD'!$E$8:$E$43,'Reliquidación TD'!$B17,'Entrada TD'!F$8:F$43)</f>
        <v>0</v>
      </c>
      <c r="D17" s="33">
        <f>SUMIF('Entrada TD'!$E$8:$E$43,'Reliquidación TD'!$B17,'Entrada TD'!G$8:G$43)</f>
        <v>0</v>
      </c>
      <c r="E17" s="33">
        <f>SUMIF('Entrada TD'!$E$8:$E$43,'Reliquidación TD'!$B17,'Entrada TD'!H$8:H$43)</f>
        <v>0</v>
      </c>
      <c r="F17" s="33">
        <f>SUMIF('Entrada TD'!$E$8:$E$43,'Reliquidación TD'!$B17,'Entrada TD'!I$8:I$43)</f>
        <v>0</v>
      </c>
      <c r="G17" s="33">
        <f>SUMIF('Entrada TD'!$E$8:$E$43,'Reliquidación TD'!$B17,'Entrada TD'!J$8:J$43)</f>
        <v>0</v>
      </c>
      <c r="H17" s="33">
        <v>0</v>
      </c>
      <c r="I17" s="33">
        <f t="shared" si="0"/>
        <v>0</v>
      </c>
      <c r="J17" s="33">
        <v>0</v>
      </c>
      <c r="K17" s="33">
        <f t="shared" si="3"/>
        <v>0</v>
      </c>
      <c r="L17" s="33">
        <f t="shared" si="4"/>
        <v>0</v>
      </c>
      <c r="M17" s="33">
        <f t="shared" si="5"/>
        <v>0</v>
      </c>
      <c r="N17" s="33">
        <f t="shared" si="6"/>
        <v>0</v>
      </c>
      <c r="O17" s="33">
        <f t="shared" si="1"/>
        <v>0</v>
      </c>
      <c r="P17" s="33">
        <f t="shared" si="2"/>
        <v>0</v>
      </c>
    </row>
    <row r="18" spans="2:16" x14ac:dyDescent="0.2">
      <c r="B18" s="32" t="s">
        <v>24</v>
      </c>
      <c r="C18" s="33">
        <f>SUMIF('Entrada TD'!$E$8:$E$43,'Reliquidación TD'!$B18,'Entrada TD'!F$8:F$43)+SUMIF('Entrada TD'!$E$8:$E$43,"LUZ ANDES",'Entrada TD'!F$8:F$43)</f>
        <v>99737508.739000008</v>
      </c>
      <c r="D18" s="33">
        <f>SUMIF('Entrada TD'!$E$8:$E$43,'Reliquidación TD'!$B18,'Entrada TD'!G$8:G$43)+SUMIF('Entrada TD'!$E$8:$E$43,"LUZ ANDES",'Entrada TD'!G$8:G$43)</f>
        <v>579636193.58700001</v>
      </c>
      <c r="E18" s="33">
        <f>SUMIF('Entrada TD'!$E$8:$E$43,'Reliquidación TD'!$B18,'Entrada TD'!H$8:H$43)+SUMIF('Entrada TD'!$E$8:$E$43,"LUZ ANDES",'Entrada TD'!H$8:H$43)</f>
        <v>535261</v>
      </c>
      <c r="F18" s="33">
        <f>SUMIF('Entrada TD'!$E$8:$E$43,'Reliquidación TD'!$B18,'Entrada TD'!I$8:I$43)+SUMIF('Entrada TD'!$E$8:$E$43,"LUZ ANDES",'Entrada TD'!I$8:I$43)</f>
        <v>1279747.5719999999</v>
      </c>
      <c r="G18" s="33">
        <f>SUMIF('Entrada TD'!$E$8:$E$43,'Reliquidación TD'!$B18,'Entrada TD'!J$8:J$43)+SUMIF('Entrada TD'!$E$8:$E$43,"LUZ ANDES",'Entrada TD'!J$8:J$43)</f>
        <v>1733431.398141366</v>
      </c>
      <c r="H18" s="33">
        <v>0</v>
      </c>
      <c r="I18" s="33">
        <f t="shared" si="0"/>
        <v>0</v>
      </c>
      <c r="J18" s="33">
        <v>0</v>
      </c>
      <c r="K18" s="33">
        <f t="shared" si="3"/>
        <v>0</v>
      </c>
      <c r="L18" s="33">
        <f t="shared" si="4"/>
        <v>1733431.398141366</v>
      </c>
      <c r="M18" s="33">
        <f t="shared" si="5"/>
        <v>0</v>
      </c>
      <c r="N18" s="33">
        <f t="shared" si="6"/>
        <v>1733431.398141366</v>
      </c>
      <c r="O18" s="33">
        <f t="shared" si="1"/>
        <v>-79223.977220287328</v>
      </c>
      <c r="P18" s="33">
        <f t="shared" si="2"/>
        <v>1654207.4209210787</v>
      </c>
    </row>
    <row r="19" spans="2:16" x14ac:dyDescent="0.2">
      <c r="B19" s="32" t="s">
        <v>26</v>
      </c>
      <c r="C19" s="33">
        <f>SUMIF('Entrada TD'!$E$8:$E$43,'Reliquidación TD'!$B19,'Entrada TD'!F$8:F$43)</f>
        <v>32570199.870000001</v>
      </c>
      <c r="D19" s="33">
        <f>SUMIF('Entrada TD'!$E$8:$E$43,'Reliquidación TD'!$B19,'Entrada TD'!G$8:G$43)</f>
        <v>70264417.353</v>
      </c>
      <c r="E19" s="33">
        <f>SUMIF('Entrada TD'!$E$8:$E$43,'Reliquidación TD'!$B19,'Entrada TD'!H$8:H$43)</f>
        <v>1138181.7109999999</v>
      </c>
      <c r="F19" s="33">
        <f>SUMIF('Entrada TD'!$E$8:$E$43,'Reliquidación TD'!$B19,'Entrada TD'!I$8:I$43)</f>
        <v>170381.96400000001</v>
      </c>
      <c r="G19" s="33">
        <f>SUMIF('Entrada TD'!$E$8:$E$43,'Reliquidación TD'!$B19,'Entrada TD'!J$8:J$43)</f>
        <v>-142889.0087688354</v>
      </c>
      <c r="H19" s="33">
        <v>0</v>
      </c>
      <c r="I19" s="33">
        <f t="shared" si="0"/>
        <v>0</v>
      </c>
      <c r="J19" s="33">
        <v>0</v>
      </c>
      <c r="K19" s="33">
        <f t="shared" si="3"/>
        <v>0</v>
      </c>
      <c r="L19" s="33">
        <f t="shared" si="4"/>
        <v>-142889.0087688354</v>
      </c>
      <c r="M19" s="33">
        <f t="shared" si="5"/>
        <v>142889.0087688354</v>
      </c>
      <c r="N19" s="33">
        <f t="shared" si="6"/>
        <v>0</v>
      </c>
      <c r="O19" s="33">
        <f t="shared" si="1"/>
        <v>142889.0087688354</v>
      </c>
      <c r="P19" s="33">
        <f t="shared" si="2"/>
        <v>0</v>
      </c>
    </row>
    <row r="20" spans="2:16" x14ac:dyDescent="0.2">
      <c r="B20" s="32" t="s">
        <v>27</v>
      </c>
      <c r="C20" s="33">
        <f>SUMIF('Entrada TD'!$E$8:$E$43,'Reliquidación TD'!$B20,'Entrada TD'!F$8:F$43)</f>
        <v>3244522.9169999999</v>
      </c>
      <c r="D20" s="33">
        <f>SUMIF('Entrada TD'!$E$8:$E$43,'Reliquidación TD'!$B20,'Entrada TD'!G$8:G$43)</f>
        <v>18023899.783</v>
      </c>
      <c r="E20" s="33">
        <f>SUMIF('Entrada TD'!$E$8:$E$43,'Reliquidación TD'!$B20,'Entrada TD'!H$8:H$43)</f>
        <v>0</v>
      </c>
      <c r="F20" s="33">
        <f>SUMIF('Entrada TD'!$E$8:$E$43,'Reliquidación TD'!$B20,'Entrada TD'!I$8:I$43)</f>
        <v>16943.004000000001</v>
      </c>
      <c r="G20" s="33">
        <f>SUMIF('Entrada TD'!$E$8:$E$43,'Reliquidación TD'!$B20,'Entrada TD'!J$8:J$43)</f>
        <v>49612.238702949981</v>
      </c>
      <c r="H20" s="33">
        <v>0</v>
      </c>
      <c r="I20" s="33">
        <f t="shared" si="0"/>
        <v>0</v>
      </c>
      <c r="J20" s="33">
        <v>0</v>
      </c>
      <c r="K20" s="33">
        <f t="shared" si="3"/>
        <v>0</v>
      </c>
      <c r="L20" s="33">
        <f t="shared" si="4"/>
        <v>49612.238702949981</v>
      </c>
      <c r="M20" s="33">
        <f t="shared" si="5"/>
        <v>0</v>
      </c>
      <c r="N20" s="33">
        <f t="shared" si="6"/>
        <v>49612.238702949981</v>
      </c>
      <c r="O20" s="33">
        <f t="shared" si="1"/>
        <v>-2267.4556795638623</v>
      </c>
      <c r="P20" s="33">
        <f t="shared" si="2"/>
        <v>47344.783023386117</v>
      </c>
    </row>
    <row r="21" spans="2:16" x14ac:dyDescent="0.2">
      <c r="B21" s="32" t="s">
        <v>28</v>
      </c>
      <c r="C21" s="33">
        <f>SUMIF('Entrada TD'!$E$8:$E$43,'Reliquidación TD'!$B21,'Entrada TD'!F$8:F$43)</f>
        <v>0</v>
      </c>
      <c r="D21" s="33">
        <f>SUMIF('Entrada TD'!$E$8:$E$43,'Reliquidación TD'!$B21,'Entrada TD'!G$8:G$43)</f>
        <v>0</v>
      </c>
      <c r="E21" s="33">
        <f>SUMIF('Entrada TD'!$E$8:$E$43,'Reliquidación TD'!$B21,'Entrada TD'!H$8:H$43)</f>
        <v>0</v>
      </c>
      <c r="F21" s="33">
        <f>SUMIF('Entrada TD'!$E$8:$E$43,'Reliquidación TD'!$B21,'Entrada TD'!I$8:I$43)</f>
        <v>0</v>
      </c>
      <c r="G21" s="33">
        <f>SUMIF('Entrada TD'!$E$8:$E$43,'Reliquidación TD'!$B21,'Entrada TD'!J$8:J$43)</f>
        <v>0</v>
      </c>
      <c r="H21" s="33">
        <v>0</v>
      </c>
      <c r="I21" s="33">
        <f t="shared" si="0"/>
        <v>0</v>
      </c>
      <c r="J21" s="33">
        <v>0</v>
      </c>
      <c r="K21" s="33">
        <f t="shared" si="3"/>
        <v>0</v>
      </c>
      <c r="L21" s="33">
        <f t="shared" si="4"/>
        <v>0</v>
      </c>
      <c r="M21" s="33">
        <f t="shared" si="5"/>
        <v>0</v>
      </c>
      <c r="N21" s="33">
        <f t="shared" si="6"/>
        <v>0</v>
      </c>
      <c r="O21" s="33">
        <f t="shared" si="1"/>
        <v>0</v>
      </c>
      <c r="P21" s="33">
        <f t="shared" si="2"/>
        <v>0</v>
      </c>
    </row>
    <row r="22" spans="2:16" x14ac:dyDescent="0.2">
      <c r="B22" s="32" t="s">
        <v>29</v>
      </c>
      <c r="C22" s="33">
        <f>SUMIF('Entrada TD'!$E$8:$E$43,'Reliquidación TD'!$B22,'Entrada TD'!F$8:F$43)</f>
        <v>1337677</v>
      </c>
      <c r="D22" s="33">
        <f>SUMIF('Entrada TD'!$E$8:$E$43,'Reliquidación TD'!$B22,'Entrada TD'!G$8:G$43)</f>
        <v>7924621</v>
      </c>
      <c r="E22" s="33">
        <f>SUMIF('Entrada TD'!$E$8:$E$43,'Reliquidación TD'!$B22,'Entrada TD'!H$8:H$43)</f>
        <v>880</v>
      </c>
      <c r="F22" s="33">
        <f>SUMIF('Entrada TD'!$E$8:$E$43,'Reliquidación TD'!$B22,'Entrada TD'!I$8:I$43)</f>
        <v>17333</v>
      </c>
      <c r="G22" s="33">
        <f>SUMIF('Entrada TD'!$E$8:$E$43,'Reliquidación TD'!$B22,'Entrada TD'!J$8:J$43)</f>
        <v>0</v>
      </c>
      <c r="H22" s="33">
        <v>0</v>
      </c>
      <c r="I22" s="33">
        <f t="shared" si="0"/>
        <v>0</v>
      </c>
      <c r="J22" s="33">
        <v>0</v>
      </c>
      <c r="K22" s="33">
        <f t="shared" si="3"/>
        <v>0</v>
      </c>
      <c r="L22" s="33">
        <f t="shared" si="4"/>
        <v>0</v>
      </c>
      <c r="M22" s="33">
        <f t="shared" si="5"/>
        <v>0</v>
      </c>
      <c r="N22" s="33">
        <f t="shared" si="6"/>
        <v>0</v>
      </c>
      <c r="O22" s="33">
        <f t="shared" si="1"/>
        <v>0</v>
      </c>
      <c r="P22" s="33">
        <f t="shared" si="2"/>
        <v>0</v>
      </c>
    </row>
    <row r="23" spans="2:16" x14ac:dyDescent="0.2">
      <c r="B23" s="32" t="s">
        <v>30</v>
      </c>
      <c r="C23" s="33">
        <f>SUMIF('Entrada TD'!$E$8:$E$43,'Reliquidación TD'!$B23,'Entrada TD'!F$8:F$43)</f>
        <v>4035448</v>
      </c>
      <c r="D23" s="33">
        <f>SUMIF('Entrada TD'!$E$8:$E$43,'Reliquidación TD'!$B23,'Entrada TD'!G$8:G$43)</f>
        <v>13663454</v>
      </c>
      <c r="E23" s="33">
        <f>SUMIF('Entrada TD'!$E$8:$E$43,'Reliquidación TD'!$B23,'Entrada TD'!H$8:H$43)</f>
        <v>687984</v>
      </c>
      <c r="F23" s="33">
        <f>SUMIF('Entrada TD'!$E$8:$E$43,'Reliquidación TD'!$B23,'Entrada TD'!I$8:I$43)</f>
        <v>116064</v>
      </c>
      <c r="G23" s="33">
        <f>SUMIF('Entrada TD'!$E$8:$E$43,'Reliquidación TD'!$B23,'Entrada TD'!J$8:J$43)</f>
        <v>0</v>
      </c>
      <c r="H23" s="33">
        <v>0</v>
      </c>
      <c r="I23" s="33">
        <f t="shared" si="0"/>
        <v>0</v>
      </c>
      <c r="J23" s="33">
        <v>0</v>
      </c>
      <c r="K23" s="33">
        <f t="shared" si="3"/>
        <v>0</v>
      </c>
      <c r="L23" s="33">
        <f t="shared" si="4"/>
        <v>0</v>
      </c>
      <c r="M23" s="33">
        <f t="shared" si="5"/>
        <v>0</v>
      </c>
      <c r="N23" s="33">
        <f t="shared" si="6"/>
        <v>0</v>
      </c>
      <c r="O23" s="33">
        <f t="shared" si="1"/>
        <v>0</v>
      </c>
      <c r="P23" s="33">
        <f t="shared" si="2"/>
        <v>0</v>
      </c>
    </row>
    <row r="24" spans="2:16" x14ac:dyDescent="0.2">
      <c r="B24" s="32" t="s">
        <v>31</v>
      </c>
      <c r="C24" s="33">
        <f>SUMIF('Entrada TD'!$E$8:$E$43,'Reliquidación TD'!$B24,'Entrada TD'!F$8:F$43)</f>
        <v>1680286</v>
      </c>
      <c r="D24" s="33">
        <f>SUMIF('Entrada TD'!$E$8:$E$43,'Reliquidación TD'!$B24,'Entrada TD'!G$8:G$43)</f>
        <v>13303288</v>
      </c>
      <c r="E24" s="33">
        <f>SUMIF('Entrada TD'!$E$8:$E$43,'Reliquidación TD'!$B24,'Entrada TD'!H$8:H$43)</f>
        <v>85</v>
      </c>
      <c r="F24" s="33">
        <f>SUMIF('Entrada TD'!$E$8:$E$43,'Reliquidación TD'!$B24,'Entrada TD'!I$8:I$43)</f>
        <v>62987</v>
      </c>
      <c r="G24" s="33">
        <f>SUMIF('Entrada TD'!$E$8:$E$43,'Reliquidación TD'!$B24,'Entrada TD'!J$8:J$43)</f>
        <v>0</v>
      </c>
      <c r="H24" s="33">
        <v>0</v>
      </c>
      <c r="I24" s="33">
        <f t="shared" si="0"/>
        <v>0</v>
      </c>
      <c r="J24" s="33">
        <v>0</v>
      </c>
      <c r="K24" s="33">
        <f t="shared" si="3"/>
        <v>0</v>
      </c>
      <c r="L24" s="33">
        <f t="shared" si="4"/>
        <v>0</v>
      </c>
      <c r="M24" s="33">
        <f t="shared" si="5"/>
        <v>0</v>
      </c>
      <c r="N24" s="33">
        <f t="shared" si="6"/>
        <v>0</v>
      </c>
      <c r="O24" s="33">
        <f t="shared" si="1"/>
        <v>0</v>
      </c>
      <c r="P24" s="33">
        <f t="shared" si="2"/>
        <v>0</v>
      </c>
    </row>
    <row r="25" spans="2:16" x14ac:dyDescent="0.2">
      <c r="B25" s="32" t="s">
        <v>32</v>
      </c>
      <c r="C25" s="33">
        <f>SUMIF('Entrada TD'!$E$8:$E$43,'Reliquidación TD'!$B25,'Entrada TD'!F$8:F$43)</f>
        <v>422574</v>
      </c>
      <c r="D25" s="33">
        <f>SUMIF('Entrada TD'!$E$8:$E$43,'Reliquidación TD'!$B25,'Entrada TD'!G$8:G$43)</f>
        <v>2515825</v>
      </c>
      <c r="E25" s="33">
        <f>SUMIF('Entrada TD'!$E$8:$E$43,'Reliquidación TD'!$B25,'Entrada TD'!H$8:H$43)</f>
        <v>93373</v>
      </c>
      <c r="F25" s="33">
        <f>SUMIF('Entrada TD'!$E$8:$E$43,'Reliquidación TD'!$B25,'Entrada TD'!I$8:I$43)</f>
        <v>37668</v>
      </c>
      <c r="G25" s="33">
        <f>SUMIF('Entrada TD'!$E$8:$E$43,'Reliquidación TD'!$B25,'Entrada TD'!J$8:J$43)</f>
        <v>0</v>
      </c>
      <c r="H25" s="33">
        <v>0</v>
      </c>
      <c r="I25" s="33">
        <f t="shared" si="0"/>
        <v>0</v>
      </c>
      <c r="J25" s="33">
        <v>0</v>
      </c>
      <c r="K25" s="33">
        <f t="shared" si="3"/>
        <v>0</v>
      </c>
      <c r="L25" s="33">
        <f t="shared" si="4"/>
        <v>0</v>
      </c>
      <c r="M25" s="33">
        <f t="shared" si="5"/>
        <v>0</v>
      </c>
      <c r="N25" s="33">
        <f t="shared" si="6"/>
        <v>0</v>
      </c>
      <c r="O25" s="33">
        <f t="shared" si="1"/>
        <v>0</v>
      </c>
      <c r="P25" s="33">
        <f t="shared" si="2"/>
        <v>0</v>
      </c>
    </row>
    <row r="26" spans="2:16" x14ac:dyDescent="0.2">
      <c r="B26" s="32" t="s">
        <v>33</v>
      </c>
      <c r="C26" s="33">
        <f>SUMIF('Entrada TD'!$E$8:$E$43,'Reliquidación TD'!$B26,'Entrada TD'!F$8:F$43)</f>
        <v>1033516</v>
      </c>
      <c r="D26" s="33">
        <f>SUMIF('Entrada TD'!$E$8:$E$43,'Reliquidación TD'!$B26,'Entrada TD'!G$8:G$43)</f>
        <v>1899168</v>
      </c>
      <c r="E26" s="33">
        <f>SUMIF('Entrada TD'!$E$8:$E$43,'Reliquidación TD'!$B26,'Entrada TD'!H$8:H$43)</f>
        <v>102954</v>
      </c>
      <c r="F26" s="33">
        <f>SUMIF('Entrada TD'!$E$8:$E$43,'Reliquidación TD'!$B26,'Entrada TD'!I$8:I$43)</f>
        <v>6473</v>
      </c>
      <c r="G26" s="33">
        <f>SUMIF('Entrada TD'!$E$8:$E$43,'Reliquidación TD'!$B26,'Entrada TD'!J$8:J$43)</f>
        <v>0</v>
      </c>
      <c r="H26" s="33">
        <v>0</v>
      </c>
      <c r="I26" s="33">
        <f t="shared" si="0"/>
        <v>0</v>
      </c>
      <c r="J26" s="33">
        <v>0</v>
      </c>
      <c r="K26" s="33">
        <f t="shared" si="3"/>
        <v>0</v>
      </c>
      <c r="L26" s="33">
        <f t="shared" si="4"/>
        <v>0</v>
      </c>
      <c r="M26" s="33">
        <f t="shared" si="5"/>
        <v>0</v>
      </c>
      <c r="N26" s="33">
        <f t="shared" si="6"/>
        <v>0</v>
      </c>
      <c r="O26" s="33">
        <f t="shared" si="1"/>
        <v>0</v>
      </c>
      <c r="P26" s="33">
        <f t="shared" si="2"/>
        <v>0</v>
      </c>
    </row>
    <row r="27" spans="2:16" x14ac:dyDescent="0.2">
      <c r="B27" s="32" t="s">
        <v>34</v>
      </c>
      <c r="C27" s="33">
        <f>SUMIF('Entrada TD'!$E$8:$E$43,'Reliquidación TD'!$B27,'Entrada TD'!F$8:F$43)</f>
        <v>1232712</v>
      </c>
      <c r="D27" s="33">
        <f>SUMIF('Entrada TD'!$E$8:$E$43,'Reliquidación TD'!$B27,'Entrada TD'!G$8:G$43)</f>
        <v>6789432</v>
      </c>
      <c r="E27" s="33">
        <f>SUMIF('Entrada TD'!$E$8:$E$43,'Reliquidación TD'!$B27,'Entrada TD'!H$8:H$43)</f>
        <v>267955</v>
      </c>
      <c r="F27" s="33">
        <f>SUMIF('Entrada TD'!$E$8:$E$43,'Reliquidación TD'!$B27,'Entrada TD'!I$8:I$43)</f>
        <v>76826</v>
      </c>
      <c r="G27" s="33">
        <f>SUMIF('Entrada TD'!$E$8:$E$43,'Reliquidación TD'!$B27,'Entrada TD'!J$8:J$43)</f>
        <v>0</v>
      </c>
      <c r="H27" s="33">
        <v>0</v>
      </c>
      <c r="I27" s="33">
        <f t="shared" si="0"/>
        <v>0</v>
      </c>
      <c r="J27" s="33">
        <v>0</v>
      </c>
      <c r="K27" s="33">
        <f t="shared" si="3"/>
        <v>0</v>
      </c>
      <c r="L27" s="33">
        <f t="shared" si="4"/>
        <v>0</v>
      </c>
      <c r="M27" s="33">
        <f t="shared" si="5"/>
        <v>0</v>
      </c>
      <c r="N27" s="33">
        <f t="shared" si="6"/>
        <v>0</v>
      </c>
      <c r="O27" s="33">
        <f t="shared" si="1"/>
        <v>0</v>
      </c>
      <c r="P27" s="33">
        <f t="shared" si="2"/>
        <v>0</v>
      </c>
    </row>
    <row r="28" spans="2:16" x14ac:dyDescent="0.2">
      <c r="B28" s="32" t="s">
        <v>35</v>
      </c>
      <c r="C28" s="33">
        <f>SUMIF('Entrada TD'!$E$8:$E$43,'Reliquidación TD'!$B28,'Entrada TD'!F$8:F$43)</f>
        <v>18146722.66</v>
      </c>
      <c r="D28" s="33">
        <f>SUMIF('Entrada TD'!$E$8:$E$43,'Reliquidación TD'!$B28,'Entrada TD'!G$8:G$43)</f>
        <v>65344272.25</v>
      </c>
      <c r="E28" s="33">
        <f>SUMIF('Entrada TD'!$E$8:$E$43,'Reliquidación TD'!$B28,'Entrada TD'!H$8:H$43)</f>
        <v>283367.23</v>
      </c>
      <c r="F28" s="33">
        <f>SUMIF('Entrada TD'!$E$8:$E$43,'Reliquidación TD'!$B28,'Entrada TD'!I$8:I$43)</f>
        <v>110007.8</v>
      </c>
      <c r="G28" s="33">
        <f>SUMIF('Entrada TD'!$E$8:$E$43,'Reliquidación TD'!$B28,'Entrada TD'!J$8:J$43)</f>
        <v>0</v>
      </c>
      <c r="H28" s="33">
        <v>0</v>
      </c>
      <c r="I28" s="33">
        <f t="shared" si="0"/>
        <v>0</v>
      </c>
      <c r="J28" s="33">
        <v>0</v>
      </c>
      <c r="K28" s="33">
        <f t="shared" si="3"/>
        <v>0</v>
      </c>
      <c r="L28" s="33">
        <f t="shared" si="4"/>
        <v>0</v>
      </c>
      <c r="M28" s="33">
        <f t="shared" si="5"/>
        <v>0</v>
      </c>
      <c r="N28" s="33">
        <f t="shared" si="6"/>
        <v>0</v>
      </c>
      <c r="O28" s="33">
        <f t="shared" si="1"/>
        <v>0</v>
      </c>
      <c r="P28" s="33">
        <f t="shared" si="2"/>
        <v>0</v>
      </c>
    </row>
    <row r="29" spans="2:16" x14ac:dyDescent="0.2">
      <c r="B29" s="32" t="s">
        <v>36</v>
      </c>
      <c r="C29" s="33">
        <f>SUMIF('Entrada TD'!$E$8:$E$43,'Reliquidación TD'!$B29,'Entrada TD'!F$8:F$43)</f>
        <v>7623977.3300000001</v>
      </c>
      <c r="D29" s="33">
        <f>SUMIF('Entrada TD'!$E$8:$E$43,'Reliquidación TD'!$B29,'Entrada TD'!G$8:G$43)</f>
        <v>6686820.3399999999</v>
      </c>
      <c r="E29" s="33">
        <f>SUMIF('Entrada TD'!$E$8:$E$43,'Reliquidación TD'!$B29,'Entrada TD'!H$8:H$43)</f>
        <v>128632</v>
      </c>
      <c r="F29" s="33">
        <f>SUMIF('Entrada TD'!$E$8:$E$43,'Reliquidación TD'!$B29,'Entrada TD'!I$8:I$43)</f>
        <v>6261</v>
      </c>
      <c r="G29" s="33">
        <f>SUMIF('Entrada TD'!$E$8:$E$43,'Reliquidación TD'!$B29,'Entrada TD'!J$8:J$43)</f>
        <v>-1923.9684289628001</v>
      </c>
      <c r="H29" s="33">
        <v>0</v>
      </c>
      <c r="I29" s="33">
        <f t="shared" si="0"/>
        <v>0</v>
      </c>
      <c r="J29" s="33">
        <v>0</v>
      </c>
      <c r="K29" s="33">
        <f t="shared" si="3"/>
        <v>0</v>
      </c>
      <c r="L29" s="33">
        <f t="shared" si="4"/>
        <v>-1923.9684289628001</v>
      </c>
      <c r="M29" s="33">
        <f t="shared" si="5"/>
        <v>1923.9684289628001</v>
      </c>
      <c r="N29" s="33">
        <f t="shared" si="6"/>
        <v>0</v>
      </c>
      <c r="O29" s="33">
        <f t="shared" si="1"/>
        <v>1923.9684289628001</v>
      </c>
      <c r="P29" s="33">
        <f t="shared" si="2"/>
        <v>0</v>
      </c>
    </row>
    <row r="30" spans="2:16" x14ac:dyDescent="0.2">
      <c r="B30" s="32" t="s">
        <v>37</v>
      </c>
      <c r="C30" s="33">
        <f>SUMIF('Entrada TD'!$E$8:$E$43,'Reliquidación TD'!$B30,'Entrada TD'!F$8:F$43)</f>
        <v>39086898.990000002</v>
      </c>
      <c r="D30" s="33">
        <f>SUMIF('Entrada TD'!$E$8:$E$43,'Reliquidación TD'!$B30,'Entrada TD'!G$8:G$43)</f>
        <v>116325295.42</v>
      </c>
      <c r="E30" s="33">
        <f>SUMIF('Entrada TD'!$E$8:$E$43,'Reliquidación TD'!$B30,'Entrada TD'!H$8:H$43)</f>
        <v>139457.94</v>
      </c>
      <c r="F30" s="33">
        <f>SUMIF('Entrada TD'!$E$8:$E$43,'Reliquidación TD'!$B30,'Entrada TD'!I$8:I$43)</f>
        <v>133164.53</v>
      </c>
      <c r="G30" s="33">
        <f>SUMIF('Entrada TD'!$E$8:$E$43,'Reliquidación TD'!$B30,'Entrada TD'!J$8:J$43)</f>
        <v>0</v>
      </c>
      <c r="H30" s="33">
        <v>0</v>
      </c>
      <c r="I30" s="33">
        <f t="shared" si="0"/>
        <v>0</v>
      </c>
      <c r="J30" s="33">
        <v>0</v>
      </c>
      <c r="K30" s="33">
        <f t="shared" si="3"/>
        <v>0</v>
      </c>
      <c r="L30" s="33">
        <f t="shared" si="4"/>
        <v>0</v>
      </c>
      <c r="M30" s="33">
        <f t="shared" si="5"/>
        <v>0</v>
      </c>
      <c r="N30" s="33">
        <f t="shared" si="6"/>
        <v>0</v>
      </c>
      <c r="O30" s="33">
        <f t="shared" si="1"/>
        <v>0</v>
      </c>
      <c r="P30" s="33">
        <f t="shared" si="2"/>
        <v>0</v>
      </c>
    </row>
    <row r="31" spans="2:16" x14ac:dyDescent="0.2">
      <c r="B31" s="32" t="s">
        <v>38</v>
      </c>
      <c r="C31" s="33">
        <f>SUMIF('Entrada TD'!$E$8:$E$43,'Reliquidación TD'!$B31,'Entrada TD'!F$8:F$43)</f>
        <v>1633663</v>
      </c>
      <c r="D31" s="33">
        <f>SUMIF('Entrada TD'!$E$8:$E$43,'Reliquidación TD'!$B31,'Entrada TD'!G$8:G$43)</f>
        <v>2991038</v>
      </c>
      <c r="E31" s="33">
        <f>SUMIF('Entrada TD'!$E$8:$E$43,'Reliquidación TD'!$B31,'Entrada TD'!H$8:H$43)</f>
        <v>29315</v>
      </c>
      <c r="F31" s="33">
        <f>SUMIF('Entrada TD'!$E$8:$E$43,'Reliquidación TD'!$B31,'Entrada TD'!I$8:I$43)</f>
        <v>38586</v>
      </c>
      <c r="G31" s="33">
        <f>SUMIF('Entrada TD'!$E$8:$E$43,'Reliquidación TD'!$B31,'Entrada TD'!J$8:J$43)</f>
        <v>0</v>
      </c>
      <c r="H31" s="33">
        <v>0</v>
      </c>
      <c r="I31" s="33">
        <f t="shared" si="0"/>
        <v>0</v>
      </c>
      <c r="J31" s="33">
        <v>0</v>
      </c>
      <c r="K31" s="33">
        <f t="shared" si="3"/>
        <v>0</v>
      </c>
      <c r="L31" s="33">
        <f t="shared" si="4"/>
        <v>0</v>
      </c>
      <c r="M31" s="33">
        <f t="shared" si="5"/>
        <v>0</v>
      </c>
      <c r="N31" s="33">
        <f t="shared" si="6"/>
        <v>0</v>
      </c>
      <c r="O31" s="33">
        <f t="shared" si="1"/>
        <v>0</v>
      </c>
      <c r="P31" s="33">
        <f t="shared" si="2"/>
        <v>0</v>
      </c>
    </row>
    <row r="32" spans="2:16" x14ac:dyDescent="0.2">
      <c r="B32" s="32" t="s">
        <v>39</v>
      </c>
      <c r="C32" s="33">
        <f>SUMIF('Entrada TD'!$E$8:$E$43,'Reliquidación TD'!$B32,'Entrada TD'!F$8:F$43)</f>
        <v>32427172.100000001</v>
      </c>
      <c r="D32" s="33">
        <f>SUMIF('Entrada TD'!$E$8:$E$43,'Reliquidación TD'!$B32,'Entrada TD'!G$8:G$43)</f>
        <v>132226811.75320999</v>
      </c>
      <c r="E32" s="33">
        <f>SUMIF('Entrada TD'!$E$8:$E$43,'Reliquidación TD'!$B32,'Entrada TD'!H$8:H$43)</f>
        <v>2256334.4</v>
      </c>
      <c r="F32" s="33">
        <f>SUMIF('Entrada TD'!$E$8:$E$43,'Reliquidación TD'!$B32,'Entrada TD'!I$8:I$43)</f>
        <v>621627.5</v>
      </c>
      <c r="G32" s="33">
        <f>SUMIF('Entrada TD'!$E$8:$E$43,'Reliquidación TD'!$B32,'Entrada TD'!J$8:J$43)</f>
        <v>29852.734984517028</v>
      </c>
      <c r="H32" s="33">
        <v>0</v>
      </c>
      <c r="I32" s="33">
        <f t="shared" si="0"/>
        <v>0</v>
      </c>
      <c r="J32" s="33">
        <v>0</v>
      </c>
      <c r="K32" s="33">
        <f t="shared" si="3"/>
        <v>0</v>
      </c>
      <c r="L32" s="33">
        <f t="shared" si="4"/>
        <v>29852.734984517028</v>
      </c>
      <c r="M32" s="33">
        <f t="shared" si="5"/>
        <v>0</v>
      </c>
      <c r="N32" s="33">
        <f t="shared" si="6"/>
        <v>29852.734984517028</v>
      </c>
      <c r="O32" s="33">
        <f t="shared" si="1"/>
        <v>-1364.3761148624212</v>
      </c>
      <c r="P32" s="33">
        <f t="shared" si="2"/>
        <v>28488.358869654607</v>
      </c>
    </row>
    <row r="33" spans="2:16" x14ac:dyDescent="0.2">
      <c r="B33" s="32" t="s">
        <v>40</v>
      </c>
      <c r="C33" s="33">
        <f>SUMIF('Entrada TD'!$E$8:$E$43,'Reliquidación TD'!$B33,'Entrada TD'!F$8:F$43)</f>
        <v>1140659.8</v>
      </c>
      <c r="D33" s="33">
        <f>SUMIF('Entrada TD'!$E$8:$E$43,'Reliquidación TD'!$B33,'Entrada TD'!G$8:G$43)</f>
        <v>2185959.2999999998</v>
      </c>
      <c r="E33" s="33">
        <f>SUMIF('Entrada TD'!$E$8:$E$43,'Reliquidación TD'!$B33,'Entrada TD'!H$8:H$43)</f>
        <v>68454</v>
      </c>
      <c r="F33" s="33">
        <f>SUMIF('Entrada TD'!$E$8:$E$43,'Reliquidación TD'!$B33,'Entrada TD'!I$8:I$43)</f>
        <v>105087</v>
      </c>
      <c r="G33" s="33">
        <f>SUMIF('Entrada TD'!$E$8:$E$43,'Reliquidación TD'!$B33,'Entrada TD'!J$8:J$43)</f>
        <v>0</v>
      </c>
      <c r="H33" s="33">
        <v>0</v>
      </c>
      <c r="I33" s="33">
        <f t="shared" si="0"/>
        <v>0</v>
      </c>
      <c r="J33" s="33">
        <v>0</v>
      </c>
      <c r="K33" s="33">
        <f t="shared" si="3"/>
        <v>0</v>
      </c>
      <c r="L33" s="33">
        <f t="shared" si="4"/>
        <v>0</v>
      </c>
      <c r="M33" s="33">
        <f t="shared" si="5"/>
        <v>0</v>
      </c>
      <c r="N33" s="33">
        <f t="shared" si="6"/>
        <v>0</v>
      </c>
      <c r="O33" s="33">
        <f t="shared" si="1"/>
        <v>0</v>
      </c>
      <c r="P33" s="33">
        <f t="shared" si="2"/>
        <v>0</v>
      </c>
    </row>
    <row r="34" spans="2:16" x14ac:dyDescent="0.2">
      <c r="B34" s="32" t="s">
        <v>41</v>
      </c>
      <c r="C34" s="33">
        <f>SUMIF('Entrada TD'!$E$8:$E$43,'Reliquidación TD'!$B34,'Entrada TD'!F$8:F$43)</f>
        <v>1292871.5</v>
      </c>
      <c r="D34" s="33">
        <f>SUMIF('Entrada TD'!$E$8:$E$43,'Reliquidación TD'!$B34,'Entrada TD'!G$8:G$43)</f>
        <v>9543185.6530000009</v>
      </c>
      <c r="E34" s="33">
        <f>SUMIF('Entrada TD'!$E$8:$E$43,'Reliquidación TD'!$B34,'Entrada TD'!H$8:H$43)</f>
        <v>11389</v>
      </c>
      <c r="F34" s="33">
        <f>SUMIF('Entrada TD'!$E$8:$E$43,'Reliquidación TD'!$B34,'Entrada TD'!I$8:I$43)</f>
        <v>38559</v>
      </c>
      <c r="G34" s="33">
        <f>SUMIF('Entrada TD'!$E$8:$E$43,'Reliquidación TD'!$B34,'Entrada TD'!J$8:J$43)</f>
        <v>2519.3886355270879</v>
      </c>
      <c r="H34" s="33">
        <v>0</v>
      </c>
      <c r="I34" s="33">
        <f t="shared" si="0"/>
        <v>0</v>
      </c>
      <c r="J34" s="33">
        <v>0</v>
      </c>
      <c r="K34" s="33">
        <f t="shared" si="3"/>
        <v>0</v>
      </c>
      <c r="L34" s="33">
        <f t="shared" si="4"/>
        <v>2519.3886355270879</v>
      </c>
      <c r="M34" s="33">
        <f t="shared" si="5"/>
        <v>0</v>
      </c>
      <c r="N34" s="33">
        <f t="shared" si="6"/>
        <v>2519.3886355270879</v>
      </c>
      <c r="O34" s="33">
        <f t="shared" si="1"/>
        <v>-115.14501703618687</v>
      </c>
      <c r="P34" s="33">
        <f t="shared" si="2"/>
        <v>2404.2436184909011</v>
      </c>
    </row>
    <row r="35" spans="2:16" x14ac:dyDescent="0.2">
      <c r="B35" s="32" t="s">
        <v>42</v>
      </c>
      <c r="C35" s="33">
        <f>SUMIF('Entrada TD'!$E$8:$E$43,'Reliquidación TD'!$B35,'Entrada TD'!F$8:F$43)</f>
        <v>2279830.2000000002</v>
      </c>
      <c r="D35" s="33">
        <f>SUMIF('Entrada TD'!$E$8:$E$43,'Reliquidación TD'!$B35,'Entrada TD'!G$8:G$43)</f>
        <v>5982451.7654999997</v>
      </c>
      <c r="E35" s="33">
        <f>SUMIF('Entrada TD'!$E$8:$E$43,'Reliquidación TD'!$B35,'Entrada TD'!H$8:H$43)</f>
        <v>235307</v>
      </c>
      <c r="F35" s="33">
        <f>SUMIF('Entrada TD'!$E$8:$E$43,'Reliquidación TD'!$B35,'Entrada TD'!I$8:I$43)</f>
        <v>43330.176800000001</v>
      </c>
      <c r="G35" s="33">
        <f>SUMIF('Entrada TD'!$E$8:$E$43,'Reliquidación TD'!$B35,'Entrada TD'!J$8:J$43)</f>
        <v>5920.1833289214428</v>
      </c>
      <c r="H35" s="33">
        <v>0</v>
      </c>
      <c r="I35" s="33">
        <f t="shared" si="0"/>
        <v>0</v>
      </c>
      <c r="J35" s="33">
        <v>0</v>
      </c>
      <c r="K35" s="33">
        <f t="shared" si="3"/>
        <v>0</v>
      </c>
      <c r="L35" s="33">
        <f t="shared" si="4"/>
        <v>5920.1833289214428</v>
      </c>
      <c r="M35" s="33">
        <f t="shared" si="5"/>
        <v>0</v>
      </c>
      <c r="N35" s="33">
        <f t="shared" si="6"/>
        <v>5920.1833289214428</v>
      </c>
      <c r="O35" s="33">
        <f t="shared" si="1"/>
        <v>-270.57342430354856</v>
      </c>
      <c r="P35" s="33">
        <f t="shared" si="2"/>
        <v>5649.6099046178942</v>
      </c>
    </row>
    <row r="36" spans="2:16" x14ac:dyDescent="0.2">
      <c r="B36" s="32" t="s">
        <v>43</v>
      </c>
      <c r="C36" s="33">
        <f>SUMIF('Entrada TD'!$E$8:$E$43,'Reliquidación TD'!$B36,'Entrada TD'!F$8:F$43)</f>
        <v>1736762.9001</v>
      </c>
      <c r="D36" s="33">
        <f>SUMIF('Entrada TD'!$E$8:$E$43,'Reliquidación TD'!$B36,'Entrada TD'!G$8:G$43)</f>
        <v>4296663.1634999998</v>
      </c>
      <c r="E36" s="33">
        <f>SUMIF('Entrada TD'!$E$8:$E$43,'Reliquidación TD'!$B36,'Entrada TD'!H$8:H$43)</f>
        <v>316227.20000000001</v>
      </c>
      <c r="F36" s="33">
        <f>SUMIF('Entrada TD'!$E$8:$E$43,'Reliquidación TD'!$B36,'Entrada TD'!I$8:I$43)</f>
        <v>72725.100000000006</v>
      </c>
      <c r="G36" s="33">
        <f>SUMIF('Entrada TD'!$E$8:$E$43,'Reliquidación TD'!$B36,'Entrada TD'!J$8:J$43)</f>
        <v>4536.2823064509485</v>
      </c>
      <c r="H36" s="33">
        <v>0</v>
      </c>
      <c r="I36" s="33">
        <f t="shared" si="0"/>
        <v>0</v>
      </c>
      <c r="J36" s="33">
        <v>0</v>
      </c>
      <c r="K36" s="33">
        <f t="shared" si="3"/>
        <v>0</v>
      </c>
      <c r="L36" s="33">
        <f t="shared" si="4"/>
        <v>4536.2823064509485</v>
      </c>
      <c r="M36" s="33">
        <f t="shared" si="5"/>
        <v>0</v>
      </c>
      <c r="N36" s="33">
        <f t="shared" si="6"/>
        <v>4536.2823064509485</v>
      </c>
      <c r="O36" s="33">
        <f t="shared" si="1"/>
        <v>-207.32422782718848</v>
      </c>
      <c r="P36" s="33">
        <f t="shared" si="2"/>
        <v>4328.9580786237602</v>
      </c>
    </row>
    <row r="37" spans="2:16" x14ac:dyDescent="0.2">
      <c r="B37" s="32" t="s">
        <v>45</v>
      </c>
      <c r="C37" s="33">
        <f>SUMIF('Entrada TD'!$E$8:$E$43,'Reliquidación TD'!$B37,'Entrada TD'!F$8:F$43)</f>
        <v>500440.00000000012</v>
      </c>
      <c r="D37" s="33">
        <f>SUMIF('Entrada TD'!$E$8:$E$43,'Reliquidación TD'!$B37,'Entrada TD'!G$8:G$43)</f>
        <v>824926</v>
      </c>
      <c r="E37" s="33">
        <f>SUMIF('Entrada TD'!$E$8:$E$43,'Reliquidación TD'!$B37,'Entrada TD'!H$8:H$43)</f>
        <v>31694</v>
      </c>
      <c r="F37" s="33">
        <f>SUMIF('Entrada TD'!$E$8:$E$43,'Reliquidación TD'!$B37,'Entrada TD'!I$8:I$43)</f>
        <v>11501</v>
      </c>
      <c r="G37" s="33">
        <f>SUMIF('Entrada TD'!$E$8:$E$43,'Reliquidación TD'!$B37,'Entrada TD'!J$8:J$43)</f>
        <v>0</v>
      </c>
      <c r="H37" s="33">
        <v>0</v>
      </c>
      <c r="I37" s="33">
        <f t="shared" si="0"/>
        <v>0</v>
      </c>
      <c r="J37" s="33">
        <v>0</v>
      </c>
      <c r="K37" s="33">
        <f t="shared" si="3"/>
        <v>0</v>
      </c>
      <c r="L37" s="33">
        <f t="shared" si="4"/>
        <v>0</v>
      </c>
      <c r="M37" s="33">
        <f t="shared" si="5"/>
        <v>0</v>
      </c>
      <c r="N37" s="33">
        <f t="shared" si="6"/>
        <v>0</v>
      </c>
      <c r="O37" s="33">
        <f t="shared" si="1"/>
        <v>0</v>
      </c>
      <c r="P37" s="33">
        <f t="shared" si="2"/>
        <v>0</v>
      </c>
    </row>
    <row r="38" spans="2:16" x14ac:dyDescent="0.2">
      <c r="B38" s="32" t="s">
        <v>46</v>
      </c>
      <c r="C38" s="33">
        <f>SUMIF('Entrada TD'!$E$8:$E$43,'Reliquidación TD'!$B38,'Entrada TD'!F$8:F$43)</f>
        <v>4050077.4360000002</v>
      </c>
      <c r="D38" s="33">
        <f>SUMIF('Entrada TD'!$E$8:$E$43,'Reliquidación TD'!$B38,'Entrada TD'!G$8:G$43)</f>
        <v>16871536.622000001</v>
      </c>
      <c r="E38" s="33">
        <f>SUMIF('Entrada TD'!$E$8:$E$43,'Reliquidación TD'!$B38,'Entrada TD'!H$8:H$43)</f>
        <v>3639.0010000000002</v>
      </c>
      <c r="F38" s="33">
        <f>SUMIF('Entrada TD'!$E$8:$E$43,'Reliquidación TD'!$B38,'Entrada TD'!I$8:I$43)</f>
        <v>27289.016</v>
      </c>
      <c r="G38" s="33">
        <f>SUMIF('Entrada TD'!$E$8:$E$43,'Reliquidación TD'!$B38,'Entrada TD'!J$8:J$43)</f>
        <v>9552.5124682860696</v>
      </c>
      <c r="H38" s="33">
        <v>0</v>
      </c>
      <c r="I38" s="33">
        <f t="shared" si="0"/>
        <v>0</v>
      </c>
      <c r="J38" s="33">
        <v>0</v>
      </c>
      <c r="K38" s="33">
        <f t="shared" si="3"/>
        <v>0</v>
      </c>
      <c r="L38" s="33">
        <f t="shared" si="4"/>
        <v>9552.5124682860696</v>
      </c>
      <c r="M38" s="33">
        <f>IF(L38&lt;0,-L38,0)</f>
        <v>0</v>
      </c>
      <c r="N38" s="33">
        <f>IF(L38&gt;0,L38,0)</f>
        <v>9552.5124682860696</v>
      </c>
      <c r="O38" s="33">
        <f t="shared" si="1"/>
        <v>-436.58377885358243</v>
      </c>
      <c r="P38" s="33">
        <f t="shared" si="2"/>
        <v>9115.9286894324869</v>
      </c>
    </row>
    <row r="39" spans="2:16" x14ac:dyDescent="0.2">
      <c r="B39" s="32" t="s">
        <v>47</v>
      </c>
      <c r="C39" s="33">
        <f>SUMIF('Entrada TD'!$E$8:$E$43,'Reliquidación TD'!$B39,'Entrada TD'!F$8:F$43)</f>
        <v>5965058.4289999995</v>
      </c>
      <c r="D39" s="33">
        <f>SUMIF('Entrada TD'!$E$8:$E$43,'Reliquidación TD'!$B39,'Entrada TD'!G$8:G$43)</f>
        <v>26994305.197000001</v>
      </c>
      <c r="E39" s="33">
        <f>SUMIF('Entrada TD'!$E$8:$E$43,'Reliquidación TD'!$B39,'Entrada TD'!H$8:H$43)</f>
        <v>14725.08</v>
      </c>
      <c r="F39" s="33">
        <f>SUMIF('Entrada TD'!$E$8:$E$43,'Reliquidación TD'!$B39,'Entrada TD'!I$8:I$43)</f>
        <v>23232.508000000002</v>
      </c>
      <c r="G39" s="33">
        <f>SUMIF('Entrada TD'!$E$8:$E$43,'Reliquidación TD'!$B39,'Entrada TD'!J$8:J$43)</f>
        <v>560926.52925470646</v>
      </c>
      <c r="H39" s="33">
        <v>0</v>
      </c>
      <c r="I39" s="33">
        <f t="shared" si="0"/>
        <v>0</v>
      </c>
      <c r="J39" s="33">
        <v>0</v>
      </c>
      <c r="K39" s="33">
        <f t="shared" si="3"/>
        <v>0</v>
      </c>
      <c r="L39" s="33">
        <f t="shared" si="4"/>
        <v>560926.52925470646</v>
      </c>
      <c r="M39" s="33">
        <f t="shared" si="5"/>
        <v>0</v>
      </c>
      <c r="N39" s="33">
        <f t="shared" si="6"/>
        <v>560926.52925470646</v>
      </c>
      <c r="O39" s="33">
        <f t="shared" si="1"/>
        <v>-25636.336473181615</v>
      </c>
      <c r="P39" s="33">
        <f t="shared" si="2"/>
        <v>535290.19278152485</v>
      </c>
    </row>
    <row r="40" spans="2:16" x14ac:dyDescent="0.2">
      <c r="B40" s="32" t="s">
        <v>48</v>
      </c>
      <c r="C40" s="33">
        <f>SUMIF('Entrada TD'!$E$8:$E$43,'Reliquidación TD'!$B40,'Entrada TD'!F$8:F$43)</f>
        <v>13073514.904999999</v>
      </c>
      <c r="D40" s="33">
        <f>SUMIF('Entrada TD'!$E$8:$E$43,'Reliquidación TD'!$B40,'Entrada TD'!G$8:G$43)</f>
        <v>50157817.648999996</v>
      </c>
      <c r="E40" s="33">
        <f>SUMIF('Entrada TD'!$E$8:$E$43,'Reliquidación TD'!$B40,'Entrada TD'!H$8:H$43)</f>
        <v>30706.560000000001</v>
      </c>
      <c r="F40" s="33">
        <f>SUMIF('Entrada TD'!$E$8:$E$43,'Reliquidación TD'!$B40,'Entrada TD'!I$8:I$43)</f>
        <v>72807.678</v>
      </c>
      <c r="G40" s="33">
        <f>SUMIF('Entrada TD'!$E$8:$E$43,'Reliquidación TD'!$B40,'Entrada TD'!J$8:J$43)</f>
        <v>218139.25315505819</v>
      </c>
      <c r="H40" s="33">
        <v>0</v>
      </c>
      <c r="I40" s="33">
        <f t="shared" si="0"/>
        <v>0</v>
      </c>
      <c r="J40" s="33">
        <v>0</v>
      </c>
      <c r="K40" s="33">
        <f t="shared" si="3"/>
        <v>0</v>
      </c>
      <c r="L40" s="33">
        <f t="shared" si="4"/>
        <v>218139.25315505819</v>
      </c>
      <c r="M40" s="33">
        <f t="shared" si="5"/>
        <v>0</v>
      </c>
      <c r="N40" s="33">
        <f t="shared" si="6"/>
        <v>218139.25315505819</v>
      </c>
      <c r="O40" s="33">
        <f t="shared" si="1"/>
        <v>-9969.7393512872331</v>
      </c>
      <c r="P40" s="33">
        <f t="shared" si="2"/>
        <v>208169.51380377097</v>
      </c>
    </row>
    <row r="41" spans="2:16" x14ac:dyDescent="0.2">
      <c r="B41" s="32" t="s">
        <v>49</v>
      </c>
      <c r="C41" s="33">
        <f>SUMIF('Entrada TD'!$E$8:$E$43,'Reliquidación TD'!$B41,'Entrada TD'!F$8:F$43)</f>
        <v>0</v>
      </c>
      <c r="D41" s="33">
        <f>SUMIF('Entrada TD'!$E$8:$E$43,'Reliquidación TD'!$B41,'Entrada TD'!G$8:G$43)</f>
        <v>0</v>
      </c>
      <c r="E41" s="33">
        <f>SUMIF('Entrada TD'!$E$8:$E$43,'Reliquidación TD'!$B41,'Entrada TD'!H$8:H$43)</f>
        <v>0</v>
      </c>
      <c r="F41" s="33">
        <f>SUMIF('Entrada TD'!$E$8:$E$43,'Reliquidación TD'!$B41,'Entrada TD'!I$8:I$43)</f>
        <v>0</v>
      </c>
      <c r="G41" s="33">
        <f>SUMIF('Entrada TD'!$E$8:$E$43,'Reliquidación TD'!$B41,'Entrada TD'!J$8:J$43)</f>
        <v>0</v>
      </c>
      <c r="H41" s="33">
        <v>0</v>
      </c>
      <c r="I41" s="33">
        <f t="shared" si="0"/>
        <v>0</v>
      </c>
      <c r="J41" s="33">
        <v>0</v>
      </c>
      <c r="K41" s="33">
        <f t="shared" si="3"/>
        <v>0</v>
      </c>
      <c r="L41" s="33">
        <f t="shared" si="4"/>
        <v>0</v>
      </c>
      <c r="M41" s="33">
        <f>IF(L41&lt;0,-L41,0)</f>
        <v>0</v>
      </c>
      <c r="N41" s="33">
        <f>IF(L41&gt;0,L41,0)</f>
        <v>0</v>
      </c>
      <c r="O41" s="33">
        <f t="shared" si="1"/>
        <v>0</v>
      </c>
      <c r="P41" s="33">
        <f>L41+O41</f>
        <v>0</v>
      </c>
    </row>
    <row r="42" spans="2:16" x14ac:dyDescent="0.2">
      <c r="B42" s="32" t="s">
        <v>50</v>
      </c>
      <c r="C42" s="33">
        <f>SUMIF('Entrada TD'!$E$8:$E$43,'Reliquidación TD'!$B42,'Entrada TD'!F$8:F$43)</f>
        <v>0</v>
      </c>
      <c r="D42" s="33">
        <f>SUMIF('Entrada TD'!$E$8:$E$43,'Reliquidación TD'!$B42,'Entrada TD'!G$8:G$43)</f>
        <v>6319.3</v>
      </c>
      <c r="E42" s="33">
        <f>SUMIF('Entrada TD'!$E$8:$E$43,'Reliquidación TD'!$B42,'Entrada TD'!H$8:H$43)</f>
        <v>0</v>
      </c>
      <c r="F42" s="33">
        <f>SUMIF('Entrada TD'!$E$8:$E$43,'Reliquidación TD'!$B42,'Entrada TD'!I$8:I$43)</f>
        <v>0</v>
      </c>
      <c r="G42" s="33">
        <f>SUMIF('Entrada TD'!$E$8:$E$43,'Reliquidación TD'!$B42,'Entrada TD'!J$8:J$43)</f>
        <v>0</v>
      </c>
      <c r="H42" s="33">
        <v>0</v>
      </c>
      <c r="I42" s="33">
        <f t="shared" si="0"/>
        <v>0</v>
      </c>
      <c r="J42" s="33">
        <v>0</v>
      </c>
      <c r="K42" s="33">
        <f t="shared" si="3"/>
        <v>0</v>
      </c>
      <c r="L42" s="33">
        <f t="shared" si="4"/>
        <v>0</v>
      </c>
      <c r="M42" s="33">
        <f>IF(L42&lt;0,-L42,0)</f>
        <v>0</v>
      </c>
      <c r="N42" s="33">
        <f>IF(L42&gt;0,L42,0)</f>
        <v>0</v>
      </c>
      <c r="O42" s="33">
        <f t="shared" si="1"/>
        <v>0</v>
      </c>
      <c r="P42" s="33">
        <f>L42+O42</f>
        <v>0</v>
      </c>
    </row>
    <row r="43" spans="2:16" x14ac:dyDescent="0.2">
      <c r="B43" s="34" t="s">
        <v>51</v>
      </c>
      <c r="C43" s="35">
        <f>SUMIF('Entrada TD'!$E$8:$E$43,'Reliquidación TD'!$B43,'Entrada TD'!F$8:F$43)</f>
        <v>30000.9</v>
      </c>
      <c r="D43" s="35">
        <f>SUMIF('Entrada TD'!$E$8:$E$43,'Reliquidación TD'!$B43,'Entrada TD'!G$8:G$43)</f>
        <v>49706.2</v>
      </c>
      <c r="E43" s="35">
        <f>SUMIF('Entrada TD'!$E$8:$E$43,'Reliquidación TD'!$B43,'Entrada TD'!H$8:H$43)</f>
        <v>0</v>
      </c>
      <c r="F43" s="35">
        <f>SUMIF('Entrada TD'!$E$8:$E$43,'Reliquidación TD'!$B43,'Entrada TD'!I$8:I$43)</f>
        <v>0</v>
      </c>
      <c r="G43" s="35">
        <f>SUMIF('Entrada TD'!$E$8:$E$43,'Reliquidación TD'!$B43,'Entrada TD'!J$8:J$43)</f>
        <v>0</v>
      </c>
      <c r="H43" s="35">
        <v>0</v>
      </c>
      <c r="I43" s="35">
        <f t="shared" si="0"/>
        <v>0</v>
      </c>
      <c r="J43" s="35">
        <v>0</v>
      </c>
      <c r="K43" s="35">
        <f t="shared" si="3"/>
        <v>0</v>
      </c>
      <c r="L43" s="35">
        <f t="shared" si="4"/>
        <v>0</v>
      </c>
      <c r="M43" s="35">
        <f t="shared" si="5"/>
        <v>0</v>
      </c>
      <c r="N43" s="35">
        <f t="shared" si="6"/>
        <v>0</v>
      </c>
      <c r="O43" s="35">
        <f t="shared" si="1"/>
        <v>0</v>
      </c>
      <c r="P43" s="35">
        <f t="shared" si="2"/>
        <v>0</v>
      </c>
    </row>
    <row r="44" spans="2:16" x14ac:dyDescent="0.2">
      <c r="B44" s="36" t="s">
        <v>66</v>
      </c>
      <c r="C44" s="13">
        <f t="shared" ref="C44:P44" si="7">SUM(C9:C43)</f>
        <v>418782840.21509999</v>
      </c>
      <c r="D44" s="37">
        <f t="shared" si="7"/>
        <v>1652358746.58022</v>
      </c>
      <c r="E44" s="38">
        <f t="shared" si="7"/>
        <v>12864231.053000001</v>
      </c>
      <c r="F44" s="38">
        <f t="shared" si="7"/>
        <v>4578213.0927999998</v>
      </c>
      <c r="G44" s="38">
        <f t="shared" si="7"/>
        <v>3023714.6622945559</v>
      </c>
      <c r="H44" s="38">
        <f t="shared" si="7"/>
        <v>0</v>
      </c>
      <c r="I44" s="38">
        <f t="shared" si="7"/>
        <v>0</v>
      </c>
      <c r="J44" s="38">
        <f t="shared" si="7"/>
        <v>0</v>
      </c>
      <c r="K44" s="38">
        <f t="shared" si="7"/>
        <v>0</v>
      </c>
      <c r="L44" s="38">
        <f>SUM(L9:L43)</f>
        <v>3023714.6622945559</v>
      </c>
      <c r="M44" s="38">
        <f t="shared" si="7"/>
        <v>144812.9771977982</v>
      </c>
      <c r="N44" s="38">
        <f t="shared" si="7"/>
        <v>3168527.6394923544</v>
      </c>
      <c r="O44" s="39">
        <f t="shared" si="7"/>
        <v>-7.2759576141834259E-12</v>
      </c>
      <c r="P44" s="39">
        <f t="shared" si="7"/>
        <v>3023714.6622945564</v>
      </c>
    </row>
    <row r="45" spans="2:16" x14ac:dyDescent="0.2">
      <c r="B45" s="40"/>
      <c r="C45"/>
      <c r="D45"/>
      <c r="E45"/>
      <c r="F45"/>
      <c r="G45"/>
      <c r="H45"/>
      <c r="I45"/>
      <c r="J45"/>
      <c r="K45"/>
      <c r="L45"/>
      <c r="M45" s="41"/>
      <c r="N45" s="41"/>
      <c r="O45"/>
    </row>
    <row r="46" spans="2:16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6" x14ac:dyDescent="0.2">
      <c r="B47"/>
      <c r="C47"/>
      <c r="H47" s="42"/>
      <c r="I47" s="14"/>
      <c r="J47" s="14"/>
      <c r="K47" s="14"/>
      <c r="L47" s="14"/>
      <c r="M47" s="4" t="s">
        <v>67</v>
      </c>
      <c r="N47" s="43">
        <f>N44</f>
        <v>3168527.6394923544</v>
      </c>
      <c r="O47"/>
    </row>
    <row r="48" spans="2:16" x14ac:dyDescent="0.2">
      <c r="B48"/>
      <c r="C48"/>
      <c r="H48" s="42"/>
      <c r="I48" s="14"/>
      <c r="J48" s="14"/>
      <c r="K48" s="14"/>
      <c r="L48" s="14"/>
      <c r="M48" s="4" t="s">
        <v>68</v>
      </c>
      <c r="N48" s="43">
        <f>M44</f>
        <v>144812.9771977982</v>
      </c>
      <c r="O48"/>
      <c r="P48" s="44"/>
    </row>
    <row r="49" spans="2:16" x14ac:dyDescent="0.2">
      <c r="B49"/>
      <c r="C49"/>
      <c r="H49" s="42"/>
      <c r="I49"/>
      <c r="J49"/>
      <c r="K49"/>
      <c r="L49"/>
      <c r="M49" s="4" t="s">
        <v>69</v>
      </c>
      <c r="N49" s="43">
        <f>+IF(N48&lt;N47,N48,N47)</f>
        <v>144812.9771977982</v>
      </c>
      <c r="O49"/>
      <c r="P49" s="44"/>
    </row>
    <row r="50" spans="2:16" x14ac:dyDescent="0.2">
      <c r="M50" s="14"/>
      <c r="N50"/>
    </row>
    <row r="51" spans="2:16" x14ac:dyDescent="0.2">
      <c r="D51" s="45"/>
      <c r="G51" s="44"/>
    </row>
    <row r="52" spans="2:16" x14ac:dyDescent="0.2">
      <c r="D52" s="45"/>
    </row>
    <row r="53" spans="2:16" x14ac:dyDescent="0.2">
      <c r="D53" s="45"/>
    </row>
  </sheetData>
  <dataConsolidate/>
  <mergeCells count="15">
    <mergeCell ref="G6:G7"/>
    <mergeCell ref="B6:B8"/>
    <mergeCell ref="C6:C7"/>
    <mergeCell ref="D6:D7"/>
    <mergeCell ref="E6:E7"/>
    <mergeCell ref="F6:F7"/>
    <mergeCell ref="N6:N7"/>
    <mergeCell ref="O6:O7"/>
    <mergeCell ref="P6:P7"/>
    <mergeCell ref="H6:H7"/>
    <mergeCell ref="I6:I7"/>
    <mergeCell ref="J6:J7"/>
    <mergeCell ref="K6:K7"/>
    <mergeCell ref="L6:L7"/>
    <mergeCell ref="M6:M7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1CFD7-64C1-4A2B-8C46-D7A316C50552}">
  <sheetPr codeName="Hoja6">
    <tabColor theme="8" tint="0.59999389629810485"/>
  </sheetPr>
  <dimension ref="B2:S114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42578125" style="17" customWidth="1"/>
    <col min="2" max="2" width="22.7109375" style="17" customWidth="1"/>
    <col min="3" max="3" width="11.5703125" style="17" bestFit="1" customWidth="1"/>
    <col min="4" max="4" width="13.140625" style="17" bestFit="1" customWidth="1"/>
    <col min="5" max="5" width="12.140625" style="17" customWidth="1"/>
    <col min="6" max="6" width="9.5703125" style="17" bestFit="1" customWidth="1"/>
    <col min="7" max="7" width="13.5703125" style="17" bestFit="1" customWidth="1"/>
    <col min="8" max="8" width="11.5703125" style="17" bestFit="1" customWidth="1"/>
    <col min="9" max="9" width="12.7109375" style="17" customWidth="1"/>
    <col min="10" max="10" width="13" style="17" customWidth="1"/>
    <col min="11" max="11" width="10.5703125" style="17" customWidth="1"/>
    <col min="12" max="12" width="17.85546875" style="17" customWidth="1"/>
    <col min="13" max="13" width="13.5703125" style="17" bestFit="1" customWidth="1"/>
    <col min="14" max="15" width="13.140625" style="17" bestFit="1" customWidth="1"/>
    <col min="16" max="16" width="16.28515625" style="17" customWidth="1"/>
    <col min="17" max="18" width="13.28515625" style="17" customWidth="1"/>
    <col min="19" max="19" width="14.7109375" style="17" customWidth="1"/>
    <col min="20" max="20" width="16.85546875" style="17" customWidth="1"/>
    <col min="21" max="16384" width="11.42578125" style="17"/>
  </cols>
  <sheetData>
    <row r="2" spans="2:19" x14ac:dyDescent="0.2">
      <c r="B2" s="16" t="s">
        <v>70</v>
      </c>
      <c r="C2" s="16"/>
      <c r="D2" s="16"/>
    </row>
    <row r="3" spans="2:19" x14ac:dyDescent="0.2">
      <c r="B3" s="18">
        <f>FechaFacturacion</f>
        <v>45566</v>
      </c>
      <c r="C3" s="19"/>
      <c r="D3" s="19"/>
      <c r="I3" s="20" t="s">
        <v>57</v>
      </c>
      <c r="J3" s="21"/>
      <c r="K3" s="21"/>
      <c r="L3" s="21"/>
    </row>
    <row r="4" spans="2:19" x14ac:dyDescent="0.2">
      <c r="B4" s="22"/>
      <c r="D4" s="19"/>
      <c r="I4" s="23">
        <f>'Reliquidación TD'!$I$4</f>
        <v>9.7570308016070584E-3</v>
      </c>
      <c r="J4" s="24"/>
      <c r="K4" s="24"/>
      <c r="L4" s="24"/>
      <c r="M4" s="46"/>
    </row>
    <row r="5" spans="2:19" x14ac:dyDescent="0.2">
      <c r="J5" s="47"/>
      <c r="K5" s="47"/>
      <c r="L5" s="47"/>
    </row>
    <row r="6" spans="2:19" ht="12.75" customHeight="1" x14ac:dyDescent="0.2">
      <c r="B6" s="102" t="s">
        <v>6</v>
      </c>
      <c r="C6" s="102" t="s">
        <v>7</v>
      </c>
      <c r="D6" s="102" t="s">
        <v>8</v>
      </c>
      <c r="E6" s="102" t="s">
        <v>9</v>
      </c>
      <c r="F6" s="102" t="s">
        <v>10</v>
      </c>
      <c r="G6" s="102" t="s">
        <v>11</v>
      </c>
      <c r="H6" s="102" t="str">
        <f>"Saldo "&amp;TEXT(B3-1,"mmmmmmmmmm")</f>
        <v>Saldo septiembre</v>
      </c>
      <c r="I6" s="102" t="s">
        <v>58</v>
      </c>
      <c r="J6" s="102" t="s">
        <v>59</v>
      </c>
      <c r="K6" s="102" t="s">
        <v>60</v>
      </c>
      <c r="L6" s="102" t="str">
        <f>CONCATENATE("Transferencias TD ", TEXT(FechaFacturacion, "mmmm yyyy"))</f>
        <v>Transferencias TD octubre 2024</v>
      </c>
      <c r="M6" s="105" t="s">
        <v>11</v>
      </c>
      <c r="N6" s="102" t="s">
        <v>71</v>
      </c>
      <c r="O6" s="100" t="s">
        <v>72</v>
      </c>
      <c r="P6" s="102" t="s">
        <v>64</v>
      </c>
      <c r="Q6" s="102" t="s">
        <v>65</v>
      </c>
      <c r="R6" s="102" t="s">
        <v>73</v>
      </c>
      <c r="S6" s="102" t="s">
        <v>74</v>
      </c>
    </row>
    <row r="7" spans="2:19" ht="12.75" customHeight="1" x14ac:dyDescent="0.2">
      <c r="B7" s="106"/>
      <c r="C7" s="103"/>
      <c r="D7" s="103"/>
      <c r="E7" s="103"/>
      <c r="F7" s="103"/>
      <c r="G7" s="103"/>
      <c r="H7" s="104"/>
      <c r="I7" s="103"/>
      <c r="J7" s="103"/>
      <c r="K7" s="103"/>
      <c r="L7" s="103"/>
      <c r="M7" s="105"/>
      <c r="N7" s="103"/>
      <c r="O7" s="101"/>
      <c r="P7" s="103"/>
      <c r="Q7" s="103"/>
      <c r="R7" s="103"/>
      <c r="S7" s="103"/>
    </row>
    <row r="8" spans="2:19" ht="13.5" customHeight="1" x14ac:dyDescent="0.2">
      <c r="B8" s="106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 t="s">
        <v>13</v>
      </c>
      <c r="K8" s="26" t="s">
        <v>13</v>
      </c>
      <c r="L8" s="26" t="s">
        <v>13</v>
      </c>
      <c r="M8" s="26" t="s">
        <v>13</v>
      </c>
      <c r="N8" s="26" t="s">
        <v>13</v>
      </c>
      <c r="O8" s="28" t="s">
        <v>13</v>
      </c>
      <c r="P8" s="27" t="s">
        <v>13</v>
      </c>
      <c r="Q8" s="27" t="s">
        <v>13</v>
      </c>
      <c r="R8" s="27" t="s">
        <v>13</v>
      </c>
      <c r="S8" s="27" t="s">
        <v>13</v>
      </c>
    </row>
    <row r="9" spans="2:19" x14ac:dyDescent="0.2">
      <c r="B9" s="30" t="s">
        <v>14</v>
      </c>
      <c r="C9" s="31">
        <f>SUMIF('Entrada AR'!$E$8:$E$43,'Reliquidación AR'!$B9,'Entrada AR'!F$8:F$43)</f>
        <v>1369056</v>
      </c>
      <c r="D9" s="31">
        <f>SUMIF('Entrada AR'!$E$8:$E$43,'Reliquidación AR'!$B9,'Entrada AR'!G$8:G$43)</f>
        <v>3036897</v>
      </c>
      <c r="E9" s="31">
        <f>SUMIF('Entrada AR'!$E$8:$E$43,'Reliquidación AR'!$B9,'Entrada AR'!H$8:H$43)</f>
        <v>145180</v>
      </c>
      <c r="F9" s="31">
        <f>SUMIF('Entrada AR'!$E$8:$E$43,'Reliquidación AR'!$B9,'Entrada AR'!I$8:I$43)</f>
        <v>29987</v>
      </c>
      <c r="G9" s="31">
        <f>SUMIF('Entrada AR'!$E$8:$E$43,'Reliquidación AR'!$B9,'Entrada AR'!J$8:J$43)</f>
        <v>-7952159.7601680513</v>
      </c>
      <c r="H9" s="31">
        <v>0</v>
      </c>
      <c r="I9" s="31">
        <f>H9*($I$4+1)</f>
        <v>0</v>
      </c>
      <c r="J9" s="31">
        <v>0</v>
      </c>
      <c r="K9" s="31">
        <f>+J9*($I$4+1)</f>
        <v>0</v>
      </c>
      <c r="L9" s="31">
        <f>+'Reliquidación TD'!O9</f>
        <v>0</v>
      </c>
      <c r="M9" s="31">
        <f t="shared" ref="M9:M43" si="0">G9+I9+K9</f>
        <v>-7952159.7601680513</v>
      </c>
      <c r="N9" s="31">
        <f>IF(M9&lt;0,-M9,0)</f>
        <v>7952159.7601680513</v>
      </c>
      <c r="O9" s="31">
        <f>IF(M9&gt;0,M9,0)</f>
        <v>0</v>
      </c>
      <c r="P9" s="31">
        <f t="shared" ref="P9:P42" si="1">IF(OR($N$44=0,$O$44=0),0,(N9/$N$44-O9/$O$44)*$O$49)</f>
        <v>7952159.7601680513</v>
      </c>
      <c r="Q9" s="31">
        <f>M9+P9</f>
        <v>0</v>
      </c>
      <c r="R9" s="31">
        <v>0</v>
      </c>
      <c r="S9" s="31">
        <f>+Q9+R9</f>
        <v>0</v>
      </c>
    </row>
    <row r="10" spans="2:19" x14ac:dyDescent="0.2">
      <c r="B10" s="32" t="s">
        <v>15</v>
      </c>
      <c r="C10" s="33">
        <f>SUMIF('Entrada AR'!$E$8:$E$43,'Reliquidación AR'!$B10,'Entrada AR'!F$8:F$43)</f>
        <v>736444</v>
      </c>
      <c r="D10" s="33">
        <f>SUMIF('Entrada AR'!$E$8:$E$43,'Reliquidación AR'!$B10,'Entrada AR'!G$8:G$43)</f>
        <v>2954329</v>
      </c>
      <c r="E10" s="33">
        <f>SUMIF('Entrada AR'!$E$8:$E$43,'Reliquidación AR'!$B10,'Entrada AR'!H$8:H$43)</f>
        <v>1383</v>
      </c>
      <c r="F10" s="33">
        <f>SUMIF('Entrada AR'!$E$8:$E$43,'Reliquidación AR'!$B10,'Entrada AR'!I$8:I$43)</f>
        <v>30387</v>
      </c>
      <c r="G10" s="33">
        <f>SUMIF('Entrada AR'!$E$8:$E$43,'Reliquidación AR'!$B10,'Entrada AR'!J$8:J$43)</f>
        <v>-28907500.99154764</v>
      </c>
      <c r="H10" s="33">
        <v>0</v>
      </c>
      <c r="I10" s="33">
        <f t="shared" ref="I10:I40" si="2">H10*($I$4+1)</f>
        <v>0</v>
      </c>
      <c r="J10" s="33">
        <v>0</v>
      </c>
      <c r="K10" s="33">
        <f t="shared" ref="K10:K43" si="3">+J10*($I$4+1)</f>
        <v>0</v>
      </c>
      <c r="L10" s="33">
        <f>+'Reliquidación TD'!O10</f>
        <v>0</v>
      </c>
      <c r="M10" s="33">
        <f t="shared" si="0"/>
        <v>-28907500.99154764</v>
      </c>
      <c r="N10" s="33">
        <f t="shared" ref="N10:N43" si="4">IF(M10&lt;0,-M10,0)</f>
        <v>28907500.99154764</v>
      </c>
      <c r="O10" s="33">
        <f t="shared" ref="O10:O43" si="5">IF(M10&gt;0,M10,0)</f>
        <v>0</v>
      </c>
      <c r="P10" s="33">
        <f t="shared" si="1"/>
        <v>28907500.99154764</v>
      </c>
      <c r="Q10" s="33">
        <f t="shared" ref="Q10:Q43" si="6">M10+P10</f>
        <v>0</v>
      </c>
      <c r="R10" s="33">
        <v>0</v>
      </c>
      <c r="S10" s="33">
        <f t="shared" ref="S10:S43" si="7">+Q10+R10</f>
        <v>0</v>
      </c>
    </row>
    <row r="11" spans="2:19" x14ac:dyDescent="0.2">
      <c r="B11" s="32" t="s">
        <v>16</v>
      </c>
      <c r="C11" s="33">
        <f>SUMIF('Entrada AR'!$E$8:$E$43,'Reliquidación AR'!$B11,'Entrada AR'!F$8:F$43)</f>
        <v>1805683.4</v>
      </c>
      <c r="D11" s="33">
        <f>SUMIF('Entrada AR'!$E$8:$E$43,'Reliquidación AR'!$B11,'Entrada AR'!G$8:G$43)</f>
        <v>5971293.3500100002</v>
      </c>
      <c r="E11" s="33">
        <f>SUMIF('Entrada AR'!$E$8:$E$43,'Reliquidación AR'!$B11,'Entrada AR'!H$8:H$43)</f>
        <v>0</v>
      </c>
      <c r="F11" s="33">
        <f>SUMIF('Entrada AR'!$E$8:$E$43,'Reliquidación AR'!$B11,'Entrada AR'!I$8:I$43)</f>
        <v>13086.6</v>
      </c>
      <c r="G11" s="33">
        <f>SUMIF('Entrada AR'!$E$8:$E$43,'Reliquidación AR'!$B11,'Entrada AR'!J$8:J$43)</f>
        <v>14947641.36613618</v>
      </c>
      <c r="H11" s="33">
        <v>3524907.7171634696</v>
      </c>
      <c r="I11" s="33">
        <f t="shared" si="2"/>
        <v>3559300.3503326559</v>
      </c>
      <c r="J11" s="33">
        <v>0</v>
      </c>
      <c r="K11" s="33">
        <f t="shared" si="3"/>
        <v>0</v>
      </c>
      <c r="L11" s="33">
        <f>+'Reliquidación TD'!O11</f>
        <v>0</v>
      </c>
      <c r="M11" s="33">
        <f t="shared" si="0"/>
        <v>18506941.716468837</v>
      </c>
      <c r="N11" s="33">
        <f t="shared" si="4"/>
        <v>0</v>
      </c>
      <c r="O11" s="33">
        <f t="shared" si="5"/>
        <v>18506941.716468837</v>
      </c>
      <c r="P11" s="33">
        <f t="shared" si="1"/>
        <v>-14306070.591623677</v>
      </c>
      <c r="Q11" s="33">
        <f t="shared" si="6"/>
        <v>4200871.1248451602</v>
      </c>
      <c r="R11" s="33">
        <v>0</v>
      </c>
      <c r="S11" s="33">
        <f t="shared" si="7"/>
        <v>4200871.1248451602</v>
      </c>
    </row>
    <row r="12" spans="2:19" x14ac:dyDescent="0.2">
      <c r="B12" s="32" t="s">
        <v>17</v>
      </c>
      <c r="C12" s="33">
        <f>SUMIF('Entrada AR'!$E$8:$E$43,'Reliquidación AR'!$B12,'Entrada AR'!F$8:F$43)</f>
        <v>407838</v>
      </c>
      <c r="D12" s="33">
        <f>SUMIF('Entrada AR'!$E$8:$E$43,'Reliquidación AR'!$B12,'Entrada AR'!G$8:G$43)</f>
        <v>1342341</v>
      </c>
      <c r="E12" s="33">
        <f>SUMIF('Entrada AR'!$E$8:$E$43,'Reliquidación AR'!$B12,'Entrada AR'!H$8:H$43)</f>
        <v>0</v>
      </c>
      <c r="F12" s="33">
        <f>SUMIF('Entrada AR'!$E$8:$E$43,'Reliquidación AR'!$B12,'Entrada AR'!I$8:I$43)</f>
        <v>0</v>
      </c>
      <c r="G12" s="33">
        <f>SUMIF('Entrada AR'!$E$8:$E$43,'Reliquidación AR'!$B12,'Entrada AR'!J$8:J$43)</f>
        <v>3077102.9568142262</v>
      </c>
      <c r="H12" s="33">
        <v>745071.48016487481</v>
      </c>
      <c r="I12" s="33">
        <f t="shared" si="2"/>
        <v>752341.1655462425</v>
      </c>
      <c r="J12" s="33">
        <v>0</v>
      </c>
      <c r="K12" s="33">
        <f t="shared" si="3"/>
        <v>0</v>
      </c>
      <c r="L12" s="33">
        <f>+'Reliquidación TD'!O12</f>
        <v>0</v>
      </c>
      <c r="M12" s="33">
        <f t="shared" si="0"/>
        <v>3829444.1223604688</v>
      </c>
      <c r="N12" s="33">
        <f t="shared" si="4"/>
        <v>0</v>
      </c>
      <c r="O12" s="33">
        <f t="shared" si="5"/>
        <v>3829444.1223604688</v>
      </c>
      <c r="P12" s="33">
        <f t="shared" si="1"/>
        <v>-2960202.6515497235</v>
      </c>
      <c r="Q12" s="33">
        <f t="shared" si="6"/>
        <v>869241.47081074538</v>
      </c>
      <c r="R12" s="33">
        <v>0</v>
      </c>
      <c r="S12" s="33">
        <f t="shared" si="7"/>
        <v>869241.47081074538</v>
      </c>
    </row>
    <row r="13" spans="2:19" x14ac:dyDescent="0.2">
      <c r="B13" s="32" t="s">
        <v>18</v>
      </c>
      <c r="C13" s="33">
        <f>SUMIF('Entrada AR'!$E$8:$E$43,'Reliquidación AR'!$B13,'Entrada AR'!F$8:F$43)</f>
        <v>129685529.675</v>
      </c>
      <c r="D13" s="33">
        <f>SUMIF('Entrada AR'!$E$8:$E$43,'Reliquidación AR'!$B13,'Entrada AR'!G$8:G$43)</f>
        <v>463007299.80900002</v>
      </c>
      <c r="E13" s="33">
        <f>SUMIF('Entrada AR'!$E$8:$E$43,'Reliquidación AR'!$B13,'Entrada AR'!H$8:H$43)</f>
        <v>5592286.5279999999</v>
      </c>
      <c r="F13" s="33">
        <f>SUMIF('Entrada AR'!$E$8:$E$43,'Reliquidación AR'!$B13,'Entrada AR'!I$8:I$43)</f>
        <v>1342583.72</v>
      </c>
      <c r="G13" s="33">
        <f>SUMIF('Entrada AR'!$E$8:$E$43,'Reliquidación AR'!$B13,'Entrada AR'!J$8:J$43)</f>
        <v>-1502892240.320658</v>
      </c>
      <c r="H13" s="33">
        <v>0</v>
      </c>
      <c r="I13" s="33">
        <f t="shared" si="2"/>
        <v>0</v>
      </c>
      <c r="J13" s="33">
        <v>0</v>
      </c>
      <c r="K13" s="33">
        <f t="shared" si="3"/>
        <v>0</v>
      </c>
      <c r="L13" s="33">
        <f>+'Reliquidación TD'!O13</f>
        <v>-25263.949214624427</v>
      </c>
      <c r="M13" s="33">
        <f t="shared" si="0"/>
        <v>-1502892240.320658</v>
      </c>
      <c r="N13" s="33">
        <f t="shared" si="4"/>
        <v>1502892240.320658</v>
      </c>
      <c r="O13" s="33">
        <f t="shared" si="5"/>
        <v>0</v>
      </c>
      <c r="P13" s="33">
        <f t="shared" si="1"/>
        <v>1502892240.320658</v>
      </c>
      <c r="Q13" s="33">
        <f t="shared" si="6"/>
        <v>0</v>
      </c>
      <c r="R13" s="33">
        <v>0</v>
      </c>
      <c r="S13" s="33">
        <f t="shared" si="7"/>
        <v>0</v>
      </c>
    </row>
    <row r="14" spans="2:19" x14ac:dyDescent="0.2">
      <c r="B14" s="32" t="s">
        <v>20</v>
      </c>
      <c r="C14" s="33">
        <f>SUMIF('Entrada AR'!$E$8:$E$43,'Reliquidación AR'!$B14,'Entrada AR'!F$8:F$43)</f>
        <v>233278</v>
      </c>
      <c r="D14" s="33">
        <f>SUMIF('Entrada AR'!$E$8:$E$43,'Reliquidación AR'!$B14,'Entrada AR'!G$8:G$43)</f>
        <v>913327.00399999996</v>
      </c>
      <c r="E14" s="33">
        <f>SUMIF('Entrada AR'!$E$8:$E$43,'Reliquidación AR'!$B14,'Entrada AR'!H$8:H$43)</f>
        <v>0</v>
      </c>
      <c r="F14" s="33">
        <f>SUMIF('Entrada AR'!$E$8:$E$43,'Reliquidación AR'!$B14,'Entrada AR'!I$8:I$43)</f>
        <v>0</v>
      </c>
      <c r="G14" s="33">
        <f>SUMIF('Entrada AR'!$E$8:$E$43,'Reliquidación AR'!$B14,'Entrada AR'!J$8:J$43)</f>
        <v>2105327.2992517659</v>
      </c>
      <c r="H14" s="33">
        <v>389754.3421020871</v>
      </c>
      <c r="I14" s="33">
        <f>H14*($I$4+1)</f>
        <v>393557.18722303724</v>
      </c>
      <c r="J14" s="33">
        <v>0</v>
      </c>
      <c r="K14" s="33">
        <f t="shared" si="3"/>
        <v>0</v>
      </c>
      <c r="L14" s="33">
        <f>+'Reliquidación TD'!O14</f>
        <v>0</v>
      </c>
      <c r="M14" s="33">
        <f t="shared" si="0"/>
        <v>2498884.4864748032</v>
      </c>
      <c r="N14" s="33">
        <f t="shared" si="4"/>
        <v>0</v>
      </c>
      <c r="O14" s="33">
        <f t="shared" si="5"/>
        <v>2498884.4864748032</v>
      </c>
      <c r="P14" s="33">
        <f t="shared" si="1"/>
        <v>-1931665.3400388425</v>
      </c>
      <c r="Q14" s="33">
        <f t="shared" si="6"/>
        <v>567219.14643596066</v>
      </c>
      <c r="R14" s="33">
        <v>0</v>
      </c>
      <c r="S14" s="33">
        <f t="shared" si="7"/>
        <v>567219.14643596066</v>
      </c>
    </row>
    <row r="15" spans="2:19" x14ac:dyDescent="0.2">
      <c r="B15" s="32" t="s">
        <v>21</v>
      </c>
      <c r="C15" s="33">
        <f>SUMIF('Entrada AR'!$E$8:$E$43,'Reliquidación AR'!$B15,'Entrada AR'!F$8:F$43)</f>
        <v>10262916.464</v>
      </c>
      <c r="D15" s="33">
        <f>SUMIF('Entrada AR'!$E$8:$E$43,'Reliquidación AR'!$B15,'Entrada AR'!G$8:G$43)</f>
        <v>20625852.081</v>
      </c>
      <c r="E15" s="33">
        <f>SUMIF('Entrada AR'!$E$8:$E$43,'Reliquidación AR'!$B15,'Entrada AR'!H$8:H$43)</f>
        <v>749459.40300000005</v>
      </c>
      <c r="F15" s="33">
        <f>SUMIF('Entrada AR'!$E$8:$E$43,'Reliquidación AR'!$B15,'Entrada AR'!I$8:I$43)</f>
        <v>73566.923999999999</v>
      </c>
      <c r="G15" s="33">
        <f>SUMIF('Entrada AR'!$E$8:$E$43,'Reliquidación AR'!$B15,'Entrada AR'!J$8:J$43)</f>
        <v>-158288861.29006699</v>
      </c>
      <c r="H15" s="33">
        <v>0</v>
      </c>
      <c r="I15" s="33">
        <f t="shared" si="2"/>
        <v>0</v>
      </c>
      <c r="J15" s="33">
        <v>0</v>
      </c>
      <c r="K15" s="33">
        <f t="shared" si="3"/>
        <v>0</v>
      </c>
      <c r="L15" s="33">
        <f>+'Reliquidación TD'!O15</f>
        <v>-57.516695970810083</v>
      </c>
      <c r="M15" s="33">
        <f t="shared" si="0"/>
        <v>-158288861.29006699</v>
      </c>
      <c r="N15" s="33">
        <f t="shared" si="4"/>
        <v>158288861.29006699</v>
      </c>
      <c r="O15" s="33">
        <f t="shared" si="5"/>
        <v>0</v>
      </c>
      <c r="P15" s="33">
        <f t="shared" si="1"/>
        <v>158288861.29006699</v>
      </c>
      <c r="Q15" s="33">
        <f t="shared" si="6"/>
        <v>0</v>
      </c>
      <c r="R15" s="33">
        <v>0</v>
      </c>
      <c r="S15" s="33">
        <f t="shared" si="7"/>
        <v>0</v>
      </c>
    </row>
    <row r="16" spans="2:19" x14ac:dyDescent="0.2">
      <c r="B16" s="32" t="s">
        <v>22</v>
      </c>
      <c r="C16" s="33">
        <f>SUMIF('Entrada AR'!$E$8:$E$43,'Reliquidación AR'!$B16,'Entrada AR'!F$8:F$43)</f>
        <v>0</v>
      </c>
      <c r="D16" s="33">
        <f>SUMIF('Entrada AR'!$E$8:$E$43,'Reliquidación AR'!$B16,'Entrada AR'!G$8:G$43)</f>
        <v>0</v>
      </c>
      <c r="E16" s="33">
        <f>SUMIF('Entrada AR'!$E$8:$E$43,'Reliquidación AR'!$B16,'Entrada AR'!H$8:H$43)</f>
        <v>0</v>
      </c>
      <c r="F16" s="33">
        <f>SUMIF('Entrada AR'!$E$8:$E$43,'Reliquidación AR'!$B16,'Entrada AR'!I$8:I$43)</f>
        <v>0</v>
      </c>
      <c r="G16" s="33">
        <f>SUMIF('Entrada AR'!$E$8:$E$43,'Reliquidación AR'!$B16,'Entrada AR'!J$8:J$43)</f>
        <v>0</v>
      </c>
      <c r="H16" s="33">
        <v>0</v>
      </c>
      <c r="I16" s="33">
        <f t="shared" si="2"/>
        <v>0</v>
      </c>
      <c r="J16" s="33">
        <v>0</v>
      </c>
      <c r="K16" s="33">
        <f t="shared" si="3"/>
        <v>0</v>
      </c>
      <c r="L16" s="33">
        <f>+'Reliquidación TD'!O16</f>
        <v>0</v>
      </c>
      <c r="M16" s="33">
        <f t="shared" si="0"/>
        <v>0</v>
      </c>
      <c r="N16" s="33">
        <f t="shared" si="4"/>
        <v>0</v>
      </c>
      <c r="O16" s="33">
        <f t="shared" si="5"/>
        <v>0</v>
      </c>
      <c r="P16" s="33">
        <f t="shared" si="1"/>
        <v>0</v>
      </c>
      <c r="Q16" s="33">
        <f t="shared" si="6"/>
        <v>0</v>
      </c>
      <c r="R16" s="33">
        <v>0</v>
      </c>
      <c r="S16" s="33">
        <f t="shared" si="7"/>
        <v>0</v>
      </c>
    </row>
    <row r="17" spans="2:19" x14ac:dyDescent="0.2">
      <c r="B17" s="32" t="s">
        <v>23</v>
      </c>
      <c r="C17" s="33">
        <f>SUMIF('Entrada AR'!$E$8:$E$43,'Reliquidación AR'!$B17,'Entrada AR'!F$8:F$43)</f>
        <v>0</v>
      </c>
      <c r="D17" s="33">
        <f>SUMIF('Entrada AR'!$E$8:$E$43,'Reliquidación AR'!$B17,'Entrada AR'!G$8:G$43)</f>
        <v>0</v>
      </c>
      <c r="E17" s="33">
        <f>SUMIF('Entrada AR'!$E$8:$E$43,'Reliquidación AR'!$B17,'Entrada AR'!H$8:H$43)</f>
        <v>0</v>
      </c>
      <c r="F17" s="33">
        <f>SUMIF('Entrada AR'!$E$8:$E$43,'Reliquidación AR'!$B17,'Entrada AR'!I$8:I$43)</f>
        <v>0</v>
      </c>
      <c r="G17" s="33">
        <f>SUMIF('Entrada AR'!$E$8:$E$43,'Reliquidación AR'!$B17,'Entrada AR'!J$8:J$43)</f>
        <v>0</v>
      </c>
      <c r="H17" s="33">
        <v>0</v>
      </c>
      <c r="I17" s="33">
        <f t="shared" si="2"/>
        <v>0</v>
      </c>
      <c r="J17" s="33">
        <v>0</v>
      </c>
      <c r="K17" s="33">
        <f t="shared" si="3"/>
        <v>0</v>
      </c>
      <c r="L17" s="33">
        <f>+'Reliquidación TD'!O17</f>
        <v>0</v>
      </c>
      <c r="M17" s="33">
        <f t="shared" si="0"/>
        <v>0</v>
      </c>
      <c r="N17" s="33">
        <f t="shared" si="4"/>
        <v>0</v>
      </c>
      <c r="O17" s="33">
        <f t="shared" si="5"/>
        <v>0</v>
      </c>
      <c r="P17" s="33">
        <f t="shared" si="1"/>
        <v>0</v>
      </c>
      <c r="Q17" s="33">
        <f t="shared" si="6"/>
        <v>0</v>
      </c>
      <c r="R17" s="33">
        <v>0</v>
      </c>
      <c r="S17" s="33">
        <f t="shared" si="7"/>
        <v>0</v>
      </c>
    </row>
    <row r="18" spans="2:19" x14ac:dyDescent="0.2">
      <c r="B18" s="32" t="s">
        <v>24</v>
      </c>
      <c r="C18" s="33">
        <f>SUMIF('Entrada AR'!$E$8:$E$43,'Reliquidación AR'!$B18,'Entrada AR'!F$8:F$43)+SUMIF('Entrada AR'!$E$8:$E$43,"LUZ ANDES",'Entrada AR'!F$8:F$43)</f>
        <v>99737508.739000008</v>
      </c>
      <c r="D18" s="33">
        <f>SUMIF('Entrada AR'!$E$8:$E$43,'Reliquidación AR'!$B18,'Entrada AR'!G$8:G$43)+SUMIF('Entrada AR'!$E$8:$E$43,"LUZ ANDES",'Entrada AR'!G$8:G$43)</f>
        <v>579636193.58700001</v>
      </c>
      <c r="E18" s="33">
        <f>SUMIF('Entrada AR'!$E$8:$E$43,'Reliquidación AR'!$B18,'Entrada AR'!H$8:H$43)+SUMIF('Entrada AR'!$E$8:$E$43,"LUZ ANDES",'Entrada AR'!H$8:H$43)</f>
        <v>535261</v>
      </c>
      <c r="F18" s="33">
        <f>SUMIF('Entrada AR'!$E$8:$E$43,'Reliquidación AR'!$B18,'Entrada AR'!I$8:I$43)+SUMIF('Entrada AR'!$E$8:$E$43,"LUZ ANDES",'Entrada AR'!I$8:I$43)</f>
        <v>1279747.5719999999</v>
      </c>
      <c r="G18" s="33">
        <f>SUMIF('Entrada AR'!$E$8:$E$43,'Reliquidación AR'!$B18,'Entrada AR'!J$8:J$43)+SUMIF('Entrada AR'!$E$8:$E$43,"LUZ ANDES",'Entrada AR'!J$8:J$43)</f>
        <v>1238765477.1067898</v>
      </c>
      <c r="H18" s="33">
        <v>281336940.00349188</v>
      </c>
      <c r="I18" s="33">
        <f t="shared" si="2"/>
        <v>284081953.19273585</v>
      </c>
      <c r="J18" s="33">
        <v>0</v>
      </c>
      <c r="K18" s="33">
        <f t="shared" si="3"/>
        <v>0</v>
      </c>
      <c r="L18" s="33">
        <f>+'Reliquidación TD'!O18</f>
        <v>-79223.977220287328</v>
      </c>
      <c r="M18" s="33">
        <f t="shared" si="0"/>
        <v>1522847430.2995257</v>
      </c>
      <c r="N18" s="33">
        <f t="shared" si="4"/>
        <v>0</v>
      </c>
      <c r="O18" s="33">
        <f t="shared" si="5"/>
        <v>1522847430.2995257</v>
      </c>
      <c r="P18" s="33">
        <f t="shared" si="1"/>
        <v>-1177177902.8596056</v>
      </c>
      <c r="Q18" s="33">
        <f t="shared" si="6"/>
        <v>345669527.43992019</v>
      </c>
      <c r="R18" s="33">
        <v>0</v>
      </c>
      <c r="S18" s="33">
        <f t="shared" si="7"/>
        <v>345669527.43992019</v>
      </c>
    </row>
    <row r="19" spans="2:19" x14ac:dyDescent="0.2">
      <c r="B19" s="32" t="s">
        <v>26</v>
      </c>
      <c r="C19" s="33">
        <f>SUMIF('Entrada AR'!$E$8:$E$43,'Reliquidación AR'!$B19,'Entrada AR'!F$8:F$43)</f>
        <v>32570199.870000001</v>
      </c>
      <c r="D19" s="33">
        <f>SUMIF('Entrada AR'!$E$8:$E$43,'Reliquidación AR'!$B19,'Entrada AR'!G$8:G$43)</f>
        <v>70264417.353</v>
      </c>
      <c r="E19" s="33">
        <f>SUMIF('Entrada AR'!$E$8:$E$43,'Reliquidación AR'!$B19,'Entrada AR'!H$8:H$43)</f>
        <v>1138181.7109999999</v>
      </c>
      <c r="F19" s="33">
        <f>SUMIF('Entrada AR'!$E$8:$E$43,'Reliquidación AR'!$B19,'Entrada AR'!I$8:I$43)</f>
        <v>170381.96400000001</v>
      </c>
      <c r="G19" s="33">
        <f>SUMIF('Entrada AR'!$E$8:$E$43,'Reliquidación AR'!$B19,'Entrada AR'!J$8:J$43)</f>
        <v>-338670074.11871189</v>
      </c>
      <c r="H19" s="33">
        <v>0</v>
      </c>
      <c r="I19" s="33">
        <f t="shared" si="2"/>
        <v>0</v>
      </c>
      <c r="J19" s="33">
        <v>0</v>
      </c>
      <c r="K19" s="33">
        <f t="shared" si="3"/>
        <v>0</v>
      </c>
      <c r="L19" s="33">
        <f>+'Reliquidación TD'!O19</f>
        <v>142889.0087688354</v>
      </c>
      <c r="M19" s="33">
        <f t="shared" si="0"/>
        <v>-338670074.11871189</v>
      </c>
      <c r="N19" s="33">
        <f t="shared" si="4"/>
        <v>338670074.11871189</v>
      </c>
      <c r="O19" s="33">
        <f t="shared" si="5"/>
        <v>0</v>
      </c>
      <c r="P19" s="33">
        <f t="shared" si="1"/>
        <v>338670074.11871189</v>
      </c>
      <c r="Q19" s="33">
        <f t="shared" si="6"/>
        <v>0</v>
      </c>
      <c r="R19" s="33">
        <v>0</v>
      </c>
      <c r="S19" s="33">
        <f t="shared" si="7"/>
        <v>0</v>
      </c>
    </row>
    <row r="20" spans="2:19" x14ac:dyDescent="0.2">
      <c r="B20" s="32" t="s">
        <v>27</v>
      </c>
      <c r="C20" s="33">
        <f>SUMIF('Entrada AR'!$E$8:$E$43,'Reliquidación AR'!$B20,'Entrada AR'!F$8:F$43)</f>
        <v>3244522.9169999999</v>
      </c>
      <c r="D20" s="33">
        <f>SUMIF('Entrada AR'!$E$8:$E$43,'Reliquidación AR'!$B20,'Entrada AR'!G$8:G$43)</f>
        <v>18023899.783</v>
      </c>
      <c r="E20" s="33">
        <f>SUMIF('Entrada AR'!$E$8:$E$43,'Reliquidación AR'!$B20,'Entrada AR'!H$8:H$43)</f>
        <v>0</v>
      </c>
      <c r="F20" s="33">
        <f>SUMIF('Entrada AR'!$E$8:$E$43,'Reliquidación AR'!$B20,'Entrada AR'!I$8:I$43)</f>
        <v>16943.004000000001</v>
      </c>
      <c r="G20" s="33">
        <f>SUMIF('Entrada AR'!$E$8:$E$43,'Reliquidación AR'!$B20,'Entrada AR'!J$8:J$43)</f>
        <v>-69956380.024675578</v>
      </c>
      <c r="H20" s="33">
        <v>0</v>
      </c>
      <c r="I20" s="33">
        <f t="shared" si="2"/>
        <v>0</v>
      </c>
      <c r="J20" s="33">
        <v>0</v>
      </c>
      <c r="K20" s="33">
        <f t="shared" si="3"/>
        <v>0</v>
      </c>
      <c r="L20" s="33">
        <f>+'Reliquidación TD'!O20</f>
        <v>-2267.4556795638623</v>
      </c>
      <c r="M20" s="33">
        <f t="shared" si="0"/>
        <v>-69956380.024675578</v>
      </c>
      <c r="N20" s="33">
        <f t="shared" si="4"/>
        <v>69956380.024675578</v>
      </c>
      <c r="O20" s="33">
        <f t="shared" si="5"/>
        <v>0</v>
      </c>
      <c r="P20" s="33">
        <f t="shared" si="1"/>
        <v>69956380.024675578</v>
      </c>
      <c r="Q20" s="33">
        <f t="shared" si="6"/>
        <v>0</v>
      </c>
      <c r="R20" s="33">
        <v>0</v>
      </c>
      <c r="S20" s="33">
        <f t="shared" si="7"/>
        <v>0</v>
      </c>
    </row>
    <row r="21" spans="2:19" x14ac:dyDescent="0.2">
      <c r="B21" s="32" t="s">
        <v>28</v>
      </c>
      <c r="C21" s="33">
        <f>SUMIF('Entrada AR'!$E$8:$E$43,'Reliquidación AR'!$B21,'Entrada AR'!F$8:F$43)</f>
        <v>0</v>
      </c>
      <c r="D21" s="33">
        <f>SUMIF('Entrada AR'!$E$8:$E$43,'Reliquidación AR'!$B21,'Entrada AR'!G$8:G$43)</f>
        <v>0</v>
      </c>
      <c r="E21" s="33">
        <f>SUMIF('Entrada AR'!$E$8:$E$43,'Reliquidación AR'!$B21,'Entrada AR'!H$8:H$43)</f>
        <v>0</v>
      </c>
      <c r="F21" s="33">
        <f>SUMIF('Entrada AR'!$E$8:$E$43,'Reliquidación AR'!$B21,'Entrada AR'!I$8:I$43)</f>
        <v>0</v>
      </c>
      <c r="G21" s="33">
        <f>SUMIF('Entrada AR'!$E$8:$E$43,'Reliquidación AR'!$B21,'Entrada AR'!J$8:J$43)</f>
        <v>0</v>
      </c>
      <c r="H21" s="33">
        <v>0</v>
      </c>
      <c r="I21" s="33">
        <f t="shared" si="2"/>
        <v>0</v>
      </c>
      <c r="J21" s="33">
        <v>0</v>
      </c>
      <c r="K21" s="33">
        <f t="shared" si="3"/>
        <v>0</v>
      </c>
      <c r="L21" s="33">
        <f>+'Reliquidación TD'!O21</f>
        <v>0</v>
      </c>
      <c r="M21" s="33">
        <f t="shared" si="0"/>
        <v>0</v>
      </c>
      <c r="N21" s="33">
        <f t="shared" si="4"/>
        <v>0</v>
      </c>
      <c r="O21" s="33">
        <f t="shared" si="5"/>
        <v>0</v>
      </c>
      <c r="P21" s="33">
        <f t="shared" si="1"/>
        <v>0</v>
      </c>
      <c r="Q21" s="33">
        <f t="shared" si="6"/>
        <v>0</v>
      </c>
      <c r="R21" s="33">
        <v>0</v>
      </c>
      <c r="S21" s="33">
        <f t="shared" si="7"/>
        <v>0</v>
      </c>
    </row>
    <row r="22" spans="2:19" x14ac:dyDescent="0.2">
      <c r="B22" s="32" t="s">
        <v>29</v>
      </c>
      <c r="C22" s="33">
        <f>SUMIF('Entrada AR'!$E$8:$E$43,'Reliquidación AR'!$B22,'Entrada AR'!F$8:F$43)</f>
        <v>1337677</v>
      </c>
      <c r="D22" s="33">
        <f>SUMIF('Entrada AR'!$E$8:$E$43,'Reliquidación AR'!$B22,'Entrada AR'!G$8:G$43)</f>
        <v>7924621</v>
      </c>
      <c r="E22" s="33">
        <f>SUMIF('Entrada AR'!$E$8:$E$43,'Reliquidación AR'!$B22,'Entrada AR'!H$8:H$43)</f>
        <v>880</v>
      </c>
      <c r="F22" s="33">
        <f>SUMIF('Entrada AR'!$E$8:$E$43,'Reliquidación AR'!$B22,'Entrada AR'!I$8:I$43)</f>
        <v>17333</v>
      </c>
      <c r="G22" s="33">
        <f>SUMIF('Entrada AR'!$E$8:$E$43,'Reliquidación AR'!$B22,'Entrada AR'!J$8:J$43)</f>
        <v>-118910282.8689737</v>
      </c>
      <c r="H22" s="33">
        <v>0</v>
      </c>
      <c r="I22" s="33">
        <f t="shared" si="2"/>
        <v>0</v>
      </c>
      <c r="J22" s="33">
        <v>0</v>
      </c>
      <c r="K22" s="33">
        <f t="shared" si="3"/>
        <v>0</v>
      </c>
      <c r="L22" s="33">
        <f>+'Reliquidación TD'!O22</f>
        <v>0</v>
      </c>
      <c r="M22" s="33">
        <f t="shared" si="0"/>
        <v>-118910282.8689737</v>
      </c>
      <c r="N22" s="33">
        <f t="shared" si="4"/>
        <v>118910282.8689737</v>
      </c>
      <c r="O22" s="33">
        <f t="shared" si="5"/>
        <v>0</v>
      </c>
      <c r="P22" s="33">
        <f t="shared" si="1"/>
        <v>118910282.8689737</v>
      </c>
      <c r="Q22" s="33">
        <f t="shared" si="6"/>
        <v>0</v>
      </c>
      <c r="R22" s="33">
        <v>0</v>
      </c>
      <c r="S22" s="33">
        <f t="shared" si="7"/>
        <v>0</v>
      </c>
    </row>
    <row r="23" spans="2:19" x14ac:dyDescent="0.2">
      <c r="B23" s="32" t="s">
        <v>30</v>
      </c>
      <c r="C23" s="33">
        <f>SUMIF('Entrada AR'!$E$8:$E$43,'Reliquidación AR'!$B23,'Entrada AR'!F$8:F$43)</f>
        <v>4035448</v>
      </c>
      <c r="D23" s="33">
        <f>SUMIF('Entrada AR'!$E$8:$E$43,'Reliquidación AR'!$B23,'Entrada AR'!G$8:G$43)</f>
        <v>13663454</v>
      </c>
      <c r="E23" s="33">
        <f>SUMIF('Entrada AR'!$E$8:$E$43,'Reliquidación AR'!$B23,'Entrada AR'!H$8:H$43)</f>
        <v>687984</v>
      </c>
      <c r="F23" s="33">
        <f>SUMIF('Entrada AR'!$E$8:$E$43,'Reliquidación AR'!$B23,'Entrada AR'!I$8:I$43)</f>
        <v>116064</v>
      </c>
      <c r="G23" s="33">
        <f>SUMIF('Entrada AR'!$E$8:$E$43,'Reliquidación AR'!$B23,'Entrada AR'!J$8:J$43)</f>
        <v>28930232.742784079</v>
      </c>
      <c r="H23" s="33">
        <v>6971050.0505619347</v>
      </c>
      <c r="I23" s="33">
        <f t="shared" si="2"/>
        <v>7039066.800624812</v>
      </c>
      <c r="J23" s="33">
        <v>0</v>
      </c>
      <c r="K23" s="33">
        <f t="shared" si="3"/>
        <v>0</v>
      </c>
      <c r="L23" s="33">
        <f>+'Reliquidación TD'!O23</f>
        <v>0</v>
      </c>
      <c r="M23" s="33">
        <f t="shared" si="0"/>
        <v>35969299.543408893</v>
      </c>
      <c r="N23" s="33">
        <f t="shared" si="4"/>
        <v>0</v>
      </c>
      <c r="O23" s="33">
        <f t="shared" si="5"/>
        <v>35969299.543408893</v>
      </c>
      <c r="P23" s="33">
        <f t="shared" si="1"/>
        <v>-27804666.285913374</v>
      </c>
      <c r="Q23" s="33">
        <f t="shared" si="6"/>
        <v>8164633.2574955188</v>
      </c>
      <c r="R23" s="33">
        <v>0</v>
      </c>
      <c r="S23" s="33">
        <f t="shared" si="7"/>
        <v>8164633.2574955188</v>
      </c>
    </row>
    <row r="24" spans="2:19" x14ac:dyDescent="0.2">
      <c r="B24" s="32" t="s">
        <v>31</v>
      </c>
      <c r="C24" s="33">
        <f>SUMIF('Entrada AR'!$E$8:$E$43,'Reliquidación AR'!$B24,'Entrada AR'!F$8:F$43)</f>
        <v>1680286</v>
      </c>
      <c r="D24" s="33">
        <f>SUMIF('Entrada AR'!$E$8:$E$43,'Reliquidación AR'!$B24,'Entrada AR'!G$8:G$43)</f>
        <v>13303288</v>
      </c>
      <c r="E24" s="33">
        <f>SUMIF('Entrada AR'!$E$8:$E$43,'Reliquidación AR'!$B24,'Entrada AR'!H$8:H$43)</f>
        <v>85</v>
      </c>
      <c r="F24" s="33">
        <f>SUMIF('Entrada AR'!$E$8:$E$43,'Reliquidación AR'!$B24,'Entrada AR'!I$8:I$43)</f>
        <v>62987</v>
      </c>
      <c r="G24" s="33">
        <f>SUMIF('Entrada AR'!$E$8:$E$43,'Reliquidación AR'!$B24,'Entrada AR'!J$8:J$43)</f>
        <v>25383361.31792609</v>
      </c>
      <c r="H24" s="33">
        <v>5683818.7061388604</v>
      </c>
      <c r="I24" s="33">
        <f t="shared" si="2"/>
        <v>5739275.9003254073</v>
      </c>
      <c r="J24" s="33">
        <v>0</v>
      </c>
      <c r="K24" s="33">
        <f t="shared" si="3"/>
        <v>0</v>
      </c>
      <c r="L24" s="33">
        <f>+'Reliquidación TD'!O24</f>
        <v>0</v>
      </c>
      <c r="M24" s="33">
        <f t="shared" si="0"/>
        <v>31122637.218251497</v>
      </c>
      <c r="N24" s="33">
        <f t="shared" si="4"/>
        <v>0</v>
      </c>
      <c r="O24" s="33">
        <f t="shared" si="5"/>
        <v>31122637.218251497</v>
      </c>
      <c r="P24" s="33">
        <f t="shared" si="1"/>
        <v>-24058142.715475816</v>
      </c>
      <c r="Q24" s="33">
        <f t="shared" si="6"/>
        <v>7064494.5027756803</v>
      </c>
      <c r="R24" s="33">
        <v>0</v>
      </c>
      <c r="S24" s="33">
        <f t="shared" si="7"/>
        <v>7064494.5027756803</v>
      </c>
    </row>
    <row r="25" spans="2:19" x14ac:dyDescent="0.2">
      <c r="B25" s="32" t="s">
        <v>32</v>
      </c>
      <c r="C25" s="33">
        <f>SUMIF('Entrada AR'!$E$8:$E$43,'Reliquidación AR'!$B25,'Entrada AR'!F$8:F$43)</f>
        <v>422574</v>
      </c>
      <c r="D25" s="33">
        <f>SUMIF('Entrada AR'!$E$8:$E$43,'Reliquidación AR'!$B25,'Entrada AR'!G$8:G$43)</f>
        <v>2515825</v>
      </c>
      <c r="E25" s="33">
        <f>SUMIF('Entrada AR'!$E$8:$E$43,'Reliquidación AR'!$B25,'Entrada AR'!H$8:H$43)</f>
        <v>93373</v>
      </c>
      <c r="F25" s="33">
        <f>SUMIF('Entrada AR'!$E$8:$E$43,'Reliquidación AR'!$B25,'Entrada AR'!I$8:I$43)</f>
        <v>37668</v>
      </c>
      <c r="G25" s="33">
        <f>SUMIF('Entrada AR'!$E$8:$E$43,'Reliquidación AR'!$B25,'Entrada AR'!J$8:J$43)</f>
        <v>3262312.2474209359</v>
      </c>
      <c r="H25" s="33">
        <v>344857.97826680704</v>
      </c>
      <c r="I25" s="33">
        <f t="shared" si="2"/>
        <v>348222.76818293624</v>
      </c>
      <c r="J25" s="33">
        <v>0</v>
      </c>
      <c r="K25" s="33">
        <f t="shared" si="3"/>
        <v>0</v>
      </c>
      <c r="L25" s="33">
        <f>+'Reliquidación TD'!O25</f>
        <v>0</v>
      </c>
      <c r="M25" s="33">
        <f t="shared" si="0"/>
        <v>3610535.015603872</v>
      </c>
      <c r="N25" s="33">
        <f t="shared" si="4"/>
        <v>0</v>
      </c>
      <c r="O25" s="33">
        <f t="shared" si="5"/>
        <v>3610535.015603872</v>
      </c>
      <c r="P25" s="33">
        <f t="shared" si="1"/>
        <v>-2790983.4913887382</v>
      </c>
      <c r="Q25" s="33">
        <f t="shared" si="6"/>
        <v>819551.52421513386</v>
      </c>
      <c r="R25" s="33">
        <v>0</v>
      </c>
      <c r="S25" s="33">
        <f t="shared" si="7"/>
        <v>819551.52421513386</v>
      </c>
    </row>
    <row r="26" spans="2:19" x14ac:dyDescent="0.2">
      <c r="B26" s="32" t="s">
        <v>33</v>
      </c>
      <c r="C26" s="33">
        <f>SUMIF('Entrada AR'!$E$8:$E$43,'Reliquidación AR'!$B26,'Entrada AR'!F$8:F$43)</f>
        <v>1033516</v>
      </c>
      <c r="D26" s="33">
        <f>SUMIF('Entrada AR'!$E$8:$E$43,'Reliquidación AR'!$B26,'Entrada AR'!G$8:G$43)</f>
        <v>1899168</v>
      </c>
      <c r="E26" s="33">
        <f>SUMIF('Entrada AR'!$E$8:$E$43,'Reliquidación AR'!$B26,'Entrada AR'!H$8:H$43)</f>
        <v>102954</v>
      </c>
      <c r="F26" s="33">
        <f>SUMIF('Entrada AR'!$E$8:$E$43,'Reliquidación AR'!$B26,'Entrada AR'!I$8:I$43)</f>
        <v>6473</v>
      </c>
      <c r="G26" s="33">
        <f>SUMIF('Entrada AR'!$E$8:$E$43,'Reliquidación AR'!$B26,'Entrada AR'!J$8:J$43)</f>
        <v>4719941.5691254111</v>
      </c>
      <c r="H26" s="33">
        <v>1119658.3661195571</v>
      </c>
      <c r="I26" s="33">
        <f t="shared" si="2"/>
        <v>1130582.9072850626</v>
      </c>
      <c r="J26" s="33">
        <v>0</v>
      </c>
      <c r="K26" s="33">
        <f t="shared" si="3"/>
        <v>0</v>
      </c>
      <c r="L26" s="33">
        <f>+'Reliquidación TD'!O26</f>
        <v>0</v>
      </c>
      <c r="M26" s="33">
        <f t="shared" si="0"/>
        <v>5850524.4764104737</v>
      </c>
      <c r="N26" s="33">
        <f t="shared" si="4"/>
        <v>0</v>
      </c>
      <c r="O26" s="33">
        <f t="shared" si="5"/>
        <v>5850524.4764104737</v>
      </c>
      <c r="P26" s="33">
        <f t="shared" si="1"/>
        <v>-4522520.1137943678</v>
      </c>
      <c r="Q26" s="33">
        <f t="shared" si="6"/>
        <v>1328004.3626161059</v>
      </c>
      <c r="R26" s="33">
        <v>0</v>
      </c>
      <c r="S26" s="33">
        <f t="shared" si="7"/>
        <v>1328004.3626161059</v>
      </c>
    </row>
    <row r="27" spans="2:19" x14ac:dyDescent="0.2">
      <c r="B27" s="32" t="s">
        <v>34</v>
      </c>
      <c r="C27" s="33">
        <f>SUMIF('Entrada AR'!$E$8:$E$43,'Reliquidación AR'!$B27,'Entrada AR'!F$8:F$43)</f>
        <v>1232712</v>
      </c>
      <c r="D27" s="33">
        <f>SUMIF('Entrada AR'!$E$8:$E$43,'Reliquidación AR'!$B27,'Entrada AR'!G$8:G$43)</f>
        <v>6789432</v>
      </c>
      <c r="E27" s="33">
        <f>SUMIF('Entrada AR'!$E$8:$E$43,'Reliquidación AR'!$B27,'Entrada AR'!H$8:H$43)</f>
        <v>267955</v>
      </c>
      <c r="F27" s="33">
        <f>SUMIF('Entrada AR'!$E$8:$E$43,'Reliquidación AR'!$B27,'Entrada AR'!I$8:I$43)</f>
        <v>76826</v>
      </c>
      <c r="G27" s="33">
        <f>SUMIF('Entrada AR'!$E$8:$E$43,'Reliquidación AR'!$B27,'Entrada AR'!J$8:J$43)</f>
        <v>12957134.000373039</v>
      </c>
      <c r="H27" s="33">
        <v>3062002.8343712036</v>
      </c>
      <c r="I27" s="33">
        <f t="shared" si="2"/>
        <v>3091878.8903407715</v>
      </c>
      <c r="J27" s="33">
        <v>0</v>
      </c>
      <c r="K27" s="33">
        <f t="shared" si="3"/>
        <v>0</v>
      </c>
      <c r="L27" s="33">
        <f>+'Reliquidación TD'!O27</f>
        <v>0</v>
      </c>
      <c r="M27" s="33">
        <f t="shared" si="0"/>
        <v>16049012.890713811</v>
      </c>
      <c r="N27" s="33">
        <f t="shared" si="4"/>
        <v>0</v>
      </c>
      <c r="O27" s="33">
        <f t="shared" si="5"/>
        <v>16049012.890713811</v>
      </c>
      <c r="P27" s="33">
        <f t="shared" si="1"/>
        <v>-12406064.430197923</v>
      </c>
      <c r="Q27" s="33">
        <f t="shared" si="6"/>
        <v>3642948.4605158884</v>
      </c>
      <c r="R27" s="33">
        <v>0</v>
      </c>
      <c r="S27" s="33">
        <f t="shared" si="7"/>
        <v>3642948.4605158884</v>
      </c>
    </row>
    <row r="28" spans="2:19" x14ac:dyDescent="0.2">
      <c r="B28" s="32" t="s">
        <v>35</v>
      </c>
      <c r="C28" s="33">
        <f>SUMIF('Entrada AR'!$E$8:$E$43,'Reliquidación AR'!$B28,'Entrada AR'!F$8:F$43)</f>
        <v>18146722.66</v>
      </c>
      <c r="D28" s="33">
        <f>SUMIF('Entrada AR'!$E$8:$E$43,'Reliquidación AR'!$B28,'Entrada AR'!G$8:G$43)</f>
        <v>65344272.25</v>
      </c>
      <c r="E28" s="33">
        <f>SUMIF('Entrada AR'!$E$8:$E$43,'Reliquidación AR'!$B28,'Entrada AR'!H$8:H$43)</f>
        <v>283367.23</v>
      </c>
      <c r="F28" s="33">
        <f>SUMIF('Entrada AR'!$E$8:$E$43,'Reliquidación AR'!$B28,'Entrada AR'!I$8:I$43)</f>
        <v>110007.8</v>
      </c>
      <c r="G28" s="33">
        <f>SUMIF('Entrada AR'!$E$8:$E$43,'Reliquidación AR'!$B28,'Entrada AR'!J$8:J$43)</f>
        <v>151768695.92656389</v>
      </c>
      <c r="H28" s="33">
        <v>30174406.82575202</v>
      </c>
      <c r="I28" s="33">
        <f t="shared" si="2"/>
        <v>30468819.442571104</v>
      </c>
      <c r="J28" s="33">
        <v>0</v>
      </c>
      <c r="K28" s="33">
        <f t="shared" si="3"/>
        <v>0</v>
      </c>
      <c r="L28" s="33">
        <f>+'Reliquidación TD'!O28</f>
        <v>0</v>
      </c>
      <c r="M28" s="33">
        <f t="shared" si="0"/>
        <v>182237515.36913499</v>
      </c>
      <c r="N28" s="33">
        <f t="shared" si="4"/>
        <v>0</v>
      </c>
      <c r="O28" s="33">
        <f t="shared" si="5"/>
        <v>182237515.36913499</v>
      </c>
      <c r="P28" s="33">
        <f t="shared" si="1"/>
        <v>-140871614.51386419</v>
      </c>
      <c r="Q28" s="33">
        <f t="shared" si="6"/>
        <v>41365900.855270803</v>
      </c>
      <c r="R28" s="33">
        <v>0</v>
      </c>
      <c r="S28" s="33">
        <f t="shared" si="7"/>
        <v>41365900.855270803</v>
      </c>
    </row>
    <row r="29" spans="2:19" x14ac:dyDescent="0.2">
      <c r="B29" s="32" t="s">
        <v>36</v>
      </c>
      <c r="C29" s="33">
        <f>SUMIF('Entrada AR'!$E$8:$E$43,'Reliquidación AR'!$B29,'Entrada AR'!F$8:F$43)</f>
        <v>7623977.3300000001</v>
      </c>
      <c r="D29" s="33">
        <f>SUMIF('Entrada AR'!$E$8:$E$43,'Reliquidación AR'!$B29,'Entrada AR'!G$8:G$43)</f>
        <v>6686820.3399999999</v>
      </c>
      <c r="E29" s="33">
        <f>SUMIF('Entrada AR'!$E$8:$E$43,'Reliquidación AR'!$B29,'Entrada AR'!H$8:H$43)</f>
        <v>128632</v>
      </c>
      <c r="F29" s="33">
        <f>SUMIF('Entrada AR'!$E$8:$E$43,'Reliquidación AR'!$B29,'Entrada AR'!I$8:I$43)</f>
        <v>6261</v>
      </c>
      <c r="G29" s="33">
        <f>SUMIF('Entrada AR'!$E$8:$E$43,'Reliquidación AR'!$B29,'Entrada AR'!J$8:J$43)</f>
        <v>23673352.040793009</v>
      </c>
      <c r="H29" s="33">
        <v>5433447.20387787</v>
      </c>
      <c r="I29" s="33">
        <f t="shared" si="2"/>
        <v>5486461.515605012</v>
      </c>
      <c r="J29" s="33">
        <v>0</v>
      </c>
      <c r="K29" s="33">
        <f t="shared" si="3"/>
        <v>0</v>
      </c>
      <c r="L29" s="33">
        <f>+'Reliquidación TD'!O29</f>
        <v>1923.9684289628001</v>
      </c>
      <c r="M29" s="33">
        <f t="shared" si="0"/>
        <v>29159813.556398019</v>
      </c>
      <c r="N29" s="33">
        <f t="shared" si="4"/>
        <v>0</v>
      </c>
      <c r="O29" s="33">
        <f t="shared" si="5"/>
        <v>29159813.556398019</v>
      </c>
      <c r="P29" s="33">
        <f t="shared" si="1"/>
        <v>-22540858.32048595</v>
      </c>
      <c r="Q29" s="33">
        <f t="shared" si="6"/>
        <v>6618955.2359120697</v>
      </c>
      <c r="R29" s="33">
        <v>0</v>
      </c>
      <c r="S29" s="33">
        <f t="shared" si="7"/>
        <v>6618955.2359120697</v>
      </c>
    </row>
    <row r="30" spans="2:19" x14ac:dyDescent="0.2">
      <c r="B30" s="32" t="s">
        <v>37</v>
      </c>
      <c r="C30" s="33">
        <f>SUMIF('Entrada AR'!$E$8:$E$43,'Reliquidación AR'!$B30,'Entrada AR'!F$8:F$43)</f>
        <v>39086898.990000002</v>
      </c>
      <c r="D30" s="33">
        <f>SUMIF('Entrada AR'!$E$8:$E$43,'Reliquidación AR'!$B30,'Entrada AR'!G$8:G$43)</f>
        <v>116325295.42</v>
      </c>
      <c r="E30" s="33">
        <f>SUMIF('Entrada AR'!$E$8:$E$43,'Reliquidación AR'!$B30,'Entrada AR'!H$8:H$43)</f>
        <v>139457.94</v>
      </c>
      <c r="F30" s="33">
        <f>SUMIF('Entrada AR'!$E$8:$E$43,'Reliquidación AR'!$B30,'Entrada AR'!I$8:I$43)</f>
        <v>133164.53</v>
      </c>
      <c r="G30" s="33">
        <f>SUMIF('Entrada AR'!$E$8:$E$43,'Reliquidación AR'!$B30,'Entrada AR'!J$8:J$43)</f>
        <v>264583071.49882501</v>
      </c>
      <c r="H30" s="33">
        <v>61023429.962949812</v>
      </c>
      <c r="I30" s="33">
        <f t="shared" si="2"/>
        <v>61618837.448718026</v>
      </c>
      <c r="J30" s="33">
        <v>0</v>
      </c>
      <c r="K30" s="33">
        <f t="shared" si="3"/>
        <v>0</v>
      </c>
      <c r="L30" s="33">
        <f>+'Reliquidación TD'!O30</f>
        <v>0</v>
      </c>
      <c r="M30" s="33">
        <f t="shared" si="0"/>
        <v>326201908.94754303</v>
      </c>
      <c r="N30" s="33">
        <f t="shared" si="4"/>
        <v>0</v>
      </c>
      <c r="O30" s="33">
        <f t="shared" si="5"/>
        <v>326201908.94754303</v>
      </c>
      <c r="P30" s="33">
        <f t="shared" si="1"/>
        <v>-252157682.66959018</v>
      </c>
      <c r="Q30" s="33">
        <f t="shared" si="6"/>
        <v>74044226.27795285</v>
      </c>
      <c r="R30" s="33">
        <v>0</v>
      </c>
      <c r="S30" s="33">
        <f t="shared" si="7"/>
        <v>74044226.27795285</v>
      </c>
    </row>
    <row r="31" spans="2:19" x14ac:dyDescent="0.2">
      <c r="B31" s="32" t="s">
        <v>38</v>
      </c>
      <c r="C31" s="33">
        <f>SUMIF('Entrada AR'!$E$8:$E$43,'Reliquidación AR'!$B31,'Entrada AR'!F$8:F$43)</f>
        <v>1633663</v>
      </c>
      <c r="D31" s="33">
        <f>SUMIF('Entrada AR'!$E$8:$E$43,'Reliquidación AR'!$B31,'Entrada AR'!G$8:G$43)</f>
        <v>2991038</v>
      </c>
      <c r="E31" s="33">
        <f>SUMIF('Entrada AR'!$E$8:$E$43,'Reliquidación AR'!$B31,'Entrada AR'!H$8:H$43)</f>
        <v>29315</v>
      </c>
      <c r="F31" s="33">
        <f>SUMIF('Entrada AR'!$E$8:$E$43,'Reliquidación AR'!$B31,'Entrada AR'!I$8:I$43)</f>
        <v>38586</v>
      </c>
      <c r="G31" s="33">
        <f>SUMIF('Entrada AR'!$E$8:$E$43,'Reliquidación AR'!$B31,'Entrada AR'!J$8:J$43)</f>
        <v>7567676.0559189012</v>
      </c>
      <c r="H31" s="33">
        <v>1396165.8928814856</v>
      </c>
      <c r="I31" s="33">
        <f t="shared" si="2"/>
        <v>1409788.3265024836</v>
      </c>
      <c r="J31" s="33">
        <v>0</v>
      </c>
      <c r="K31" s="33">
        <f t="shared" si="3"/>
        <v>0</v>
      </c>
      <c r="L31" s="33">
        <f>+'Reliquidación TD'!O31</f>
        <v>0</v>
      </c>
      <c r="M31" s="33">
        <f t="shared" si="0"/>
        <v>8977464.3824213855</v>
      </c>
      <c r="N31" s="33">
        <f t="shared" si="4"/>
        <v>0</v>
      </c>
      <c r="O31" s="33">
        <f t="shared" si="5"/>
        <v>8977464.3824213855</v>
      </c>
      <c r="P31" s="33">
        <f t="shared" si="1"/>
        <v>-6939679.2380028488</v>
      </c>
      <c r="Q31" s="33">
        <f t="shared" si="6"/>
        <v>2037785.1444185367</v>
      </c>
      <c r="R31" s="33">
        <v>0</v>
      </c>
      <c r="S31" s="33">
        <f t="shared" si="7"/>
        <v>2037785.1444185367</v>
      </c>
    </row>
    <row r="32" spans="2:19" x14ac:dyDescent="0.2">
      <c r="B32" s="32" t="s">
        <v>39</v>
      </c>
      <c r="C32" s="33">
        <f>SUMIF('Entrada AR'!$E$8:$E$43,'Reliquidación AR'!$B32,'Entrada AR'!F$8:F$43)</f>
        <v>32427172.100000001</v>
      </c>
      <c r="D32" s="33">
        <f>SUMIF('Entrada AR'!$E$8:$E$43,'Reliquidación AR'!$B32,'Entrada AR'!G$8:G$43)</f>
        <v>132226811.75320999</v>
      </c>
      <c r="E32" s="33">
        <f>SUMIF('Entrada AR'!$E$8:$E$43,'Reliquidación AR'!$B32,'Entrada AR'!H$8:H$43)</f>
        <v>2256334.4</v>
      </c>
      <c r="F32" s="33">
        <f>SUMIF('Entrada AR'!$E$8:$E$43,'Reliquidación AR'!$B32,'Entrada AR'!I$8:I$43)</f>
        <v>621627.5</v>
      </c>
      <c r="G32" s="33">
        <f>SUMIF('Entrada AR'!$E$8:$E$43,'Reliquidación AR'!$B32,'Entrada AR'!J$8:J$43)</f>
        <v>303529504.76281393</v>
      </c>
      <c r="H32" s="33">
        <v>63813986.140308976</v>
      </c>
      <c r="I32" s="33">
        <f t="shared" si="2"/>
        <v>64436621.168653294</v>
      </c>
      <c r="J32" s="33">
        <v>0</v>
      </c>
      <c r="K32" s="33">
        <f t="shared" si="3"/>
        <v>0</v>
      </c>
      <c r="L32" s="33">
        <f>+'Reliquidación TD'!O32</f>
        <v>-1364.3761148624212</v>
      </c>
      <c r="M32" s="33">
        <f t="shared" si="0"/>
        <v>367966125.93146724</v>
      </c>
      <c r="N32" s="33">
        <f t="shared" si="4"/>
        <v>0</v>
      </c>
      <c r="O32" s="33">
        <f t="shared" si="5"/>
        <v>367966125.93146724</v>
      </c>
      <c r="P32" s="33">
        <f t="shared" si="1"/>
        <v>-284441884.21566331</v>
      </c>
      <c r="Q32" s="33">
        <f t="shared" si="6"/>
        <v>83524241.715803921</v>
      </c>
      <c r="R32" s="33">
        <v>0</v>
      </c>
      <c r="S32" s="33">
        <f t="shared" si="7"/>
        <v>83524241.715803921</v>
      </c>
    </row>
    <row r="33" spans="2:19" x14ac:dyDescent="0.2">
      <c r="B33" s="32" t="s">
        <v>40</v>
      </c>
      <c r="C33" s="33">
        <f>SUMIF('Entrada AR'!$E$8:$E$43,'Reliquidación AR'!$B33,'Entrada AR'!F$8:F$43)</f>
        <v>1140659.8</v>
      </c>
      <c r="D33" s="33">
        <f>SUMIF('Entrada AR'!$E$8:$E$43,'Reliquidación AR'!$B33,'Entrada AR'!G$8:G$43)</f>
        <v>2185959.2999999998</v>
      </c>
      <c r="E33" s="33">
        <f>SUMIF('Entrada AR'!$E$8:$E$43,'Reliquidación AR'!$B33,'Entrada AR'!H$8:H$43)</f>
        <v>68454</v>
      </c>
      <c r="F33" s="33">
        <f>SUMIF('Entrada AR'!$E$8:$E$43,'Reliquidación AR'!$B33,'Entrada AR'!I$8:I$43)</f>
        <v>105087</v>
      </c>
      <c r="G33" s="33">
        <f>SUMIF('Entrada AR'!$E$8:$E$43,'Reliquidación AR'!$B33,'Entrada AR'!J$8:J$43)</f>
        <v>5078492.8451363351</v>
      </c>
      <c r="H33" s="33">
        <v>1012881.2031143187</v>
      </c>
      <c r="I33" s="33">
        <f t="shared" si="2"/>
        <v>1022763.9162114739</v>
      </c>
      <c r="J33" s="33">
        <v>0</v>
      </c>
      <c r="K33" s="33">
        <f t="shared" si="3"/>
        <v>0</v>
      </c>
      <c r="L33" s="33">
        <f>+'Reliquidación TD'!O33</f>
        <v>0</v>
      </c>
      <c r="M33" s="33">
        <f t="shared" si="0"/>
        <v>6101256.7613478089</v>
      </c>
      <c r="N33" s="33">
        <f t="shared" si="4"/>
        <v>0</v>
      </c>
      <c r="O33" s="33">
        <f t="shared" si="5"/>
        <v>6101256.7613478089</v>
      </c>
      <c r="P33" s="33">
        <f t="shared" si="1"/>
        <v>-4716338.9425812252</v>
      </c>
      <c r="Q33" s="33">
        <f t="shared" si="6"/>
        <v>1384917.8187665837</v>
      </c>
      <c r="R33" s="33">
        <v>0</v>
      </c>
      <c r="S33" s="33">
        <f t="shared" si="7"/>
        <v>1384917.8187665837</v>
      </c>
    </row>
    <row r="34" spans="2:19" x14ac:dyDescent="0.2">
      <c r="B34" s="32" t="s">
        <v>41</v>
      </c>
      <c r="C34" s="33">
        <f>SUMIF('Entrada AR'!$E$8:$E$43,'Reliquidación AR'!$B34,'Entrada AR'!F$8:F$43)</f>
        <v>1292871.5</v>
      </c>
      <c r="D34" s="33">
        <f>SUMIF('Entrada AR'!$E$8:$E$43,'Reliquidación AR'!$B34,'Entrada AR'!G$8:G$43)</f>
        <v>9543185.6530000009</v>
      </c>
      <c r="E34" s="33">
        <f>SUMIF('Entrada AR'!$E$8:$E$43,'Reliquidación AR'!$B34,'Entrada AR'!H$8:H$43)</f>
        <v>11389</v>
      </c>
      <c r="F34" s="33">
        <f>SUMIF('Entrada AR'!$E$8:$E$43,'Reliquidación AR'!$B34,'Entrada AR'!I$8:I$43)</f>
        <v>38559</v>
      </c>
      <c r="G34" s="33">
        <f>SUMIF('Entrada AR'!$E$8:$E$43,'Reliquidación AR'!$B34,'Entrada AR'!J$8:J$43)</f>
        <v>17577212.40440654</v>
      </c>
      <c r="H34" s="33">
        <v>3497554.7262868248</v>
      </c>
      <c r="I34" s="33">
        <f t="shared" si="2"/>
        <v>3531680.4754815116</v>
      </c>
      <c r="J34" s="33">
        <v>0</v>
      </c>
      <c r="K34" s="33">
        <f t="shared" si="3"/>
        <v>0</v>
      </c>
      <c r="L34" s="33">
        <f>+'Reliquidación TD'!O34</f>
        <v>-115.14501703618687</v>
      </c>
      <c r="M34" s="33">
        <f t="shared" si="0"/>
        <v>21108892.87988805</v>
      </c>
      <c r="N34" s="33">
        <f t="shared" si="4"/>
        <v>0</v>
      </c>
      <c r="O34" s="33">
        <f t="shared" si="5"/>
        <v>21108892.87988805</v>
      </c>
      <c r="P34" s="33">
        <f t="shared" si="1"/>
        <v>-16317407.612624194</v>
      </c>
      <c r="Q34" s="33">
        <f t="shared" si="6"/>
        <v>4791485.2672638558</v>
      </c>
      <c r="R34" s="33">
        <v>0</v>
      </c>
      <c r="S34" s="33">
        <f t="shared" si="7"/>
        <v>4791485.2672638558</v>
      </c>
    </row>
    <row r="35" spans="2:19" x14ac:dyDescent="0.2">
      <c r="B35" s="32" t="s">
        <v>42</v>
      </c>
      <c r="C35" s="33">
        <f>SUMIF('Entrada AR'!$E$8:$E$43,'Reliquidación AR'!$B35,'Entrada AR'!F$8:F$43)</f>
        <v>2279830.2000000002</v>
      </c>
      <c r="D35" s="33">
        <f>SUMIF('Entrada AR'!$E$8:$E$43,'Reliquidación AR'!$B35,'Entrada AR'!G$8:G$43)</f>
        <v>5982451.7654999997</v>
      </c>
      <c r="E35" s="33">
        <f>SUMIF('Entrada AR'!$E$8:$E$43,'Reliquidación AR'!$B35,'Entrada AR'!H$8:H$43)</f>
        <v>235307</v>
      </c>
      <c r="F35" s="33">
        <f>SUMIF('Entrada AR'!$E$8:$E$43,'Reliquidación AR'!$B35,'Entrada AR'!I$8:I$43)</f>
        <v>43330.176800000001</v>
      </c>
      <c r="G35" s="33">
        <f>SUMIF('Entrada AR'!$E$8:$E$43,'Reliquidación AR'!$B35,'Entrada AR'!J$8:J$43)</f>
        <v>13575743.044681501</v>
      </c>
      <c r="H35" s="33">
        <v>2941356.4601584766</v>
      </c>
      <c r="I35" s="33">
        <f t="shared" si="2"/>
        <v>2970055.3657387486</v>
      </c>
      <c r="J35" s="33">
        <v>0</v>
      </c>
      <c r="K35" s="33">
        <f t="shared" si="3"/>
        <v>0</v>
      </c>
      <c r="L35" s="33">
        <f>+'Reliquidación TD'!O35</f>
        <v>-270.57342430354856</v>
      </c>
      <c r="M35" s="33">
        <f t="shared" si="0"/>
        <v>16545798.41042025</v>
      </c>
      <c r="N35" s="33">
        <f t="shared" si="4"/>
        <v>0</v>
      </c>
      <c r="O35" s="33">
        <f t="shared" si="5"/>
        <v>16545798.41042025</v>
      </c>
      <c r="P35" s="33">
        <f t="shared" si="1"/>
        <v>-12790085.130251914</v>
      </c>
      <c r="Q35" s="33">
        <f t="shared" si="6"/>
        <v>3755713.2801683359</v>
      </c>
      <c r="R35" s="33">
        <v>0</v>
      </c>
      <c r="S35" s="33">
        <f t="shared" si="7"/>
        <v>3755713.2801683359</v>
      </c>
    </row>
    <row r="36" spans="2:19" x14ac:dyDescent="0.2">
      <c r="B36" s="32" t="s">
        <v>43</v>
      </c>
      <c r="C36" s="33">
        <f>SUMIF('Entrada AR'!$E$8:$E$43,'Reliquidación AR'!$B36,'Entrada AR'!F$8:F$43)</f>
        <v>1736762.9001</v>
      </c>
      <c r="D36" s="33">
        <f>SUMIF('Entrada AR'!$E$8:$E$43,'Reliquidación AR'!$B36,'Entrada AR'!G$8:G$43)</f>
        <v>4296663.1634999998</v>
      </c>
      <c r="E36" s="33">
        <f>SUMIF('Entrada AR'!$E$8:$E$43,'Reliquidación AR'!$B36,'Entrada AR'!H$8:H$43)</f>
        <v>316227.20000000001</v>
      </c>
      <c r="F36" s="33">
        <f>SUMIF('Entrada AR'!$E$8:$E$43,'Reliquidación AR'!$B36,'Entrada AR'!I$8:I$43)</f>
        <v>72725.100000000006</v>
      </c>
      <c r="G36" s="33">
        <f>SUMIF('Entrada AR'!$E$8:$E$43,'Reliquidación AR'!$B36,'Entrada AR'!J$8:J$43)</f>
        <v>9673274.9943832699</v>
      </c>
      <c r="H36" s="33">
        <v>1780708.3683236931</v>
      </c>
      <c r="I36" s="33">
        <f t="shared" si="2"/>
        <v>1798082.7947221068</v>
      </c>
      <c r="J36" s="33">
        <v>0</v>
      </c>
      <c r="K36" s="33">
        <f t="shared" si="3"/>
        <v>0</v>
      </c>
      <c r="L36" s="33">
        <f>+'Reliquidación TD'!O36</f>
        <v>-207.32422782718848</v>
      </c>
      <c r="M36" s="33">
        <f t="shared" si="0"/>
        <v>11471357.789105376</v>
      </c>
      <c r="N36" s="33">
        <f t="shared" si="4"/>
        <v>0</v>
      </c>
      <c r="O36" s="33">
        <f t="shared" si="5"/>
        <v>11471357.789105376</v>
      </c>
      <c r="P36" s="33">
        <f t="shared" si="1"/>
        <v>-8867486.4181733727</v>
      </c>
      <c r="Q36" s="33">
        <f t="shared" si="6"/>
        <v>2603871.3709320035</v>
      </c>
      <c r="R36" s="33">
        <v>0</v>
      </c>
      <c r="S36" s="33">
        <f t="shared" si="7"/>
        <v>2603871.3709320035</v>
      </c>
    </row>
    <row r="37" spans="2:19" x14ac:dyDescent="0.2">
      <c r="B37" s="32" t="s">
        <v>45</v>
      </c>
      <c r="C37" s="33">
        <f>SUMIF('Entrada AR'!$E$8:$E$43,'Reliquidación AR'!$B37,'Entrada AR'!F$8:F$43)</f>
        <v>500440.00000000012</v>
      </c>
      <c r="D37" s="33">
        <f>SUMIF('Entrada AR'!$E$8:$E$43,'Reliquidación AR'!$B37,'Entrada AR'!G$8:G$43)</f>
        <v>824926</v>
      </c>
      <c r="E37" s="33">
        <f>SUMIF('Entrada AR'!$E$8:$E$43,'Reliquidación AR'!$B37,'Entrada AR'!H$8:H$43)</f>
        <v>31694</v>
      </c>
      <c r="F37" s="33">
        <f>SUMIF('Entrada AR'!$E$8:$E$43,'Reliquidación AR'!$B37,'Entrada AR'!I$8:I$43)</f>
        <v>11501</v>
      </c>
      <c r="G37" s="33">
        <f>SUMIF('Entrada AR'!$E$8:$E$43,'Reliquidación AR'!$B37,'Entrada AR'!J$8:J$43)</f>
        <v>2766405.8894783412</v>
      </c>
      <c r="H37" s="33">
        <v>579249.68888447108</v>
      </c>
      <c r="I37" s="33">
        <f t="shared" si="2"/>
        <v>584901.44594073819</v>
      </c>
      <c r="J37" s="33">
        <v>0</v>
      </c>
      <c r="K37" s="33">
        <f t="shared" si="3"/>
        <v>0</v>
      </c>
      <c r="L37" s="33">
        <f>+'Reliquidación TD'!O37</f>
        <v>0</v>
      </c>
      <c r="M37" s="33">
        <f t="shared" si="0"/>
        <v>3351307.3354190793</v>
      </c>
      <c r="N37" s="33">
        <f t="shared" si="4"/>
        <v>0</v>
      </c>
      <c r="O37" s="33">
        <f t="shared" si="5"/>
        <v>3351307.3354190793</v>
      </c>
      <c r="P37" s="33">
        <f t="shared" si="1"/>
        <v>-2590597.6281357966</v>
      </c>
      <c r="Q37" s="33">
        <f t="shared" si="6"/>
        <v>760709.70728328265</v>
      </c>
      <c r="R37" s="33">
        <v>0</v>
      </c>
      <c r="S37" s="33">
        <f t="shared" si="7"/>
        <v>760709.70728328265</v>
      </c>
    </row>
    <row r="38" spans="2:19" x14ac:dyDescent="0.2">
      <c r="B38" s="32" t="s">
        <v>46</v>
      </c>
      <c r="C38" s="33">
        <f>SUMIF('Entrada AR'!$E$8:$E$43,'Reliquidación AR'!$B38,'Entrada AR'!F$8:F$43)</f>
        <v>4050077.4360000002</v>
      </c>
      <c r="D38" s="33">
        <f>SUMIF('Entrada AR'!$E$8:$E$43,'Reliquidación AR'!$B38,'Entrada AR'!G$8:G$43)</f>
        <v>16871536.622000001</v>
      </c>
      <c r="E38" s="33">
        <f>SUMIF('Entrada AR'!$E$8:$E$43,'Reliquidación AR'!$B38,'Entrada AR'!H$8:H$43)</f>
        <v>3639.0010000000002</v>
      </c>
      <c r="F38" s="33">
        <f>SUMIF('Entrada AR'!$E$8:$E$43,'Reliquidación AR'!$B38,'Entrada AR'!I$8:I$43)</f>
        <v>27289.016</v>
      </c>
      <c r="G38" s="33">
        <f>SUMIF('Entrada AR'!$E$8:$E$43,'Reliquidación AR'!$B38,'Entrada AR'!J$8:J$43)</f>
        <v>38834575.939840592</v>
      </c>
      <c r="H38" s="33">
        <v>7442396.783198759</v>
      </c>
      <c r="I38" s="33">
        <f t="shared" si="2"/>
        <v>7515012.4778502109</v>
      </c>
      <c r="J38" s="33">
        <v>0</v>
      </c>
      <c r="K38" s="33">
        <f t="shared" si="3"/>
        <v>0</v>
      </c>
      <c r="L38" s="33">
        <f>+'Reliquidación TD'!O38</f>
        <v>-436.58377885358243</v>
      </c>
      <c r="M38" s="33">
        <f t="shared" si="0"/>
        <v>46349588.417690806</v>
      </c>
      <c r="N38" s="33">
        <f>IF(M38&lt;0,-M38,0)</f>
        <v>0</v>
      </c>
      <c r="O38" s="33">
        <f>IF(M38&gt;0,M38,0)</f>
        <v>46349588.417690806</v>
      </c>
      <c r="P38" s="33">
        <f t="shared" si="1"/>
        <v>-35828744.36818105</v>
      </c>
      <c r="Q38" s="33">
        <f t="shared" si="6"/>
        <v>10520844.049509756</v>
      </c>
      <c r="R38" s="33">
        <v>0</v>
      </c>
      <c r="S38" s="33">
        <f t="shared" si="7"/>
        <v>10520844.049509756</v>
      </c>
    </row>
    <row r="39" spans="2:19" x14ac:dyDescent="0.2">
      <c r="B39" s="32" t="s">
        <v>47</v>
      </c>
      <c r="C39" s="33">
        <f>SUMIF('Entrada AR'!$E$8:$E$43,'Reliquidación AR'!$B39,'Entrada AR'!F$8:F$43)</f>
        <v>5965058.4289999995</v>
      </c>
      <c r="D39" s="33">
        <f>SUMIF('Entrada AR'!$E$8:$E$43,'Reliquidación AR'!$B39,'Entrada AR'!G$8:G$43)</f>
        <v>26994305.197000001</v>
      </c>
      <c r="E39" s="33">
        <f>SUMIF('Entrada AR'!$E$8:$E$43,'Reliquidación AR'!$B39,'Entrada AR'!H$8:H$43)</f>
        <v>14725.08</v>
      </c>
      <c r="F39" s="33">
        <f>SUMIF('Entrada AR'!$E$8:$E$43,'Reliquidación AR'!$B39,'Entrada AR'!I$8:I$43)</f>
        <v>23232.508000000002</v>
      </c>
      <c r="G39" s="33">
        <f>SUMIF('Entrada AR'!$E$8:$E$43,'Reliquidación AR'!$B39,'Entrada AR'!J$8:J$43)</f>
        <v>62226273.817187749</v>
      </c>
      <c r="H39" s="33">
        <v>11749461.043647215</v>
      </c>
      <c r="I39" s="33">
        <f t="shared" si="2"/>
        <v>11864100.896952363</v>
      </c>
      <c r="J39" s="33">
        <v>0</v>
      </c>
      <c r="K39" s="33">
        <f t="shared" si="3"/>
        <v>0</v>
      </c>
      <c r="L39" s="33">
        <f>+'Reliquidación TD'!O39</f>
        <v>-25636.336473181615</v>
      </c>
      <c r="M39" s="33">
        <f t="shared" si="0"/>
        <v>74090374.714140117</v>
      </c>
      <c r="N39" s="33">
        <f t="shared" si="4"/>
        <v>0</v>
      </c>
      <c r="O39" s="33">
        <f t="shared" si="5"/>
        <v>74090374.714140117</v>
      </c>
      <c r="P39" s="33">
        <f t="shared" si="1"/>
        <v>-57272678.925504148</v>
      </c>
      <c r="Q39" s="33">
        <f t="shared" si="6"/>
        <v>16817695.788635969</v>
      </c>
      <c r="R39" s="33">
        <v>0</v>
      </c>
      <c r="S39" s="33">
        <f t="shared" si="7"/>
        <v>16817695.788635969</v>
      </c>
    </row>
    <row r="40" spans="2:19" x14ac:dyDescent="0.2">
      <c r="B40" s="32" t="s">
        <v>48</v>
      </c>
      <c r="C40" s="33">
        <f>SUMIF('Entrada AR'!$E$8:$E$43,'Reliquidación AR'!$B40,'Entrada AR'!F$8:F$43)</f>
        <v>13073514.904999999</v>
      </c>
      <c r="D40" s="33">
        <f>SUMIF('Entrada AR'!$E$8:$E$43,'Reliquidación AR'!$B40,'Entrada AR'!G$8:G$43)</f>
        <v>50157817.648999996</v>
      </c>
      <c r="E40" s="33">
        <f>SUMIF('Entrada AR'!$E$8:$E$43,'Reliquidación AR'!$B40,'Entrada AR'!H$8:H$43)</f>
        <v>30706.560000000001</v>
      </c>
      <c r="F40" s="33">
        <f>SUMIF('Entrada AR'!$E$8:$E$43,'Reliquidación AR'!$B40,'Entrada AR'!I$8:I$43)</f>
        <v>72807.678</v>
      </c>
      <c r="G40" s="33">
        <f>SUMIF('Entrada AR'!$E$8:$E$43,'Reliquidación AR'!$B40,'Entrada AR'!J$8:J$43)</f>
        <v>122246360.3368676</v>
      </c>
      <c r="H40" s="33">
        <v>22608434.620617837</v>
      </c>
      <c r="I40" s="33">
        <f t="shared" si="2"/>
        <v>22829025.813587323</v>
      </c>
      <c r="J40" s="33">
        <v>0</v>
      </c>
      <c r="K40" s="33">
        <f t="shared" si="3"/>
        <v>0</v>
      </c>
      <c r="L40" s="33">
        <f>+'Reliquidación TD'!O40</f>
        <v>-9969.7393512872331</v>
      </c>
      <c r="M40" s="33">
        <f t="shared" si="0"/>
        <v>145075386.15045494</v>
      </c>
      <c r="N40" s="33">
        <f t="shared" si="4"/>
        <v>0</v>
      </c>
      <c r="O40" s="33">
        <f t="shared" si="5"/>
        <v>145075386.15045494</v>
      </c>
      <c r="P40" s="33">
        <f t="shared" si="1"/>
        <v>-112144877.69897586</v>
      </c>
      <c r="Q40" s="33">
        <f t="shared" si="6"/>
        <v>32930508.451479077</v>
      </c>
      <c r="R40" s="33">
        <v>0</v>
      </c>
      <c r="S40" s="33">
        <f t="shared" si="7"/>
        <v>32930508.451479077</v>
      </c>
    </row>
    <row r="41" spans="2:19" x14ac:dyDescent="0.2">
      <c r="B41" s="32" t="s">
        <v>49</v>
      </c>
      <c r="C41" s="33">
        <f>SUMIF('Entrada AR'!$E$8:$E$43,'Reliquidación AR'!$B41,'Entrada AR'!F$8:F$43)</f>
        <v>0</v>
      </c>
      <c r="D41" s="33">
        <f>SUMIF('Entrada AR'!$E$8:$E$43,'Reliquidación AR'!$B41,'Entrada AR'!G$8:G$43)</f>
        <v>0</v>
      </c>
      <c r="E41" s="33">
        <f>SUMIF('Entrada AR'!$E$8:$E$43,'Reliquidación AR'!$B41,'Entrada AR'!H$8:H$43)</f>
        <v>0</v>
      </c>
      <c r="F41" s="33">
        <f>SUMIF('Entrada AR'!$E$8:$E$43,'Reliquidación AR'!$B41,'Entrada AR'!I$8:I$43)</f>
        <v>0</v>
      </c>
      <c r="G41" s="33">
        <f>SUMIF('Entrada AR'!$E$8:$E$43,'Reliquidación AR'!$B41,'Entrada AR'!J$8:J$43)</f>
        <v>0</v>
      </c>
      <c r="H41" s="33">
        <v>0</v>
      </c>
      <c r="I41" s="33">
        <f>H41*($I$4+1)</f>
        <v>0</v>
      </c>
      <c r="J41" s="33">
        <v>0</v>
      </c>
      <c r="K41" s="33">
        <f t="shared" si="3"/>
        <v>0</v>
      </c>
      <c r="L41" s="33">
        <f>+'Reliquidación TD'!O41</f>
        <v>0</v>
      </c>
      <c r="M41" s="33">
        <f t="shared" si="0"/>
        <v>0</v>
      </c>
      <c r="N41" s="33">
        <f>IF(M41&lt;0,-M41,0)</f>
        <v>0</v>
      </c>
      <c r="O41" s="33">
        <f>IF(M41&gt;0,M41,0)</f>
        <v>0</v>
      </c>
      <c r="P41" s="33">
        <f t="shared" si="1"/>
        <v>0</v>
      </c>
      <c r="Q41" s="33">
        <f>M41+P41</f>
        <v>0</v>
      </c>
      <c r="R41" s="33">
        <v>0</v>
      </c>
      <c r="S41" s="33">
        <f t="shared" si="7"/>
        <v>0</v>
      </c>
    </row>
    <row r="42" spans="2:19" x14ac:dyDescent="0.2">
      <c r="B42" s="32" t="s">
        <v>50</v>
      </c>
      <c r="C42" s="33">
        <f>SUMIF('Entrada AR'!$E$8:$E$43,'Reliquidación AR'!$B42,'Entrada AR'!F$8:F$43)</f>
        <v>0</v>
      </c>
      <c r="D42" s="33">
        <f>SUMIF('Entrada AR'!$E$8:$E$43,'Reliquidación AR'!$B42,'Entrada AR'!G$8:G$43)</f>
        <v>6319.3</v>
      </c>
      <c r="E42" s="33">
        <f>SUMIF('Entrada AR'!$E$8:$E$43,'Reliquidación AR'!$B42,'Entrada AR'!H$8:H$43)</f>
        <v>0</v>
      </c>
      <c r="F42" s="33">
        <f>SUMIF('Entrada AR'!$E$8:$E$43,'Reliquidación AR'!$B42,'Entrada AR'!I$8:I$43)</f>
        <v>0</v>
      </c>
      <c r="G42" s="33">
        <f>SUMIF('Entrada AR'!$E$8:$E$43,'Reliquidación AR'!$B42,'Entrada AR'!J$8:J$43)</f>
        <v>11065.157682579</v>
      </c>
      <c r="H42" s="33">
        <v>2249.7078730372159</v>
      </c>
      <c r="I42" s="33">
        <f>H42*($I$4+1)</f>
        <v>2271.6583420490579</v>
      </c>
      <c r="J42" s="33">
        <v>0</v>
      </c>
      <c r="K42" s="33">
        <f t="shared" si="3"/>
        <v>0</v>
      </c>
      <c r="L42" s="33">
        <f>+'Reliquidación TD'!O42</f>
        <v>0</v>
      </c>
      <c r="M42" s="33">
        <f t="shared" si="0"/>
        <v>13336.816024628057</v>
      </c>
      <c r="N42" s="33">
        <f>IF(M42&lt;0,-M42,0)</f>
        <v>0</v>
      </c>
      <c r="O42" s="33">
        <f>IF(M42&gt;0,M42,0)</f>
        <v>13336.816024628057</v>
      </c>
      <c r="P42" s="33">
        <f t="shared" si="1"/>
        <v>-10309.506261968787</v>
      </c>
      <c r="Q42" s="33">
        <f>M42+P42</f>
        <v>3027.3097626592698</v>
      </c>
      <c r="R42" s="33">
        <v>0</v>
      </c>
      <c r="S42" s="33">
        <f t="shared" si="7"/>
        <v>3027.3097626592698</v>
      </c>
    </row>
    <row r="43" spans="2:19" x14ac:dyDescent="0.2">
      <c r="B43" s="34" t="s">
        <v>51</v>
      </c>
      <c r="C43" s="35">
        <f>SUMIF('Entrada AR'!$E$8:$E$43,'Reliquidación AR'!$B43,'Entrada AR'!F$8:F$43)</f>
        <v>30000.9</v>
      </c>
      <c r="D43" s="35">
        <f>SUMIF('Entrada AR'!$E$8:$E$43,'Reliquidación AR'!$B43,'Entrada AR'!G$8:G$43)</f>
        <v>49706.2</v>
      </c>
      <c r="E43" s="35">
        <f>SUMIF('Entrada AR'!$E$8:$E$43,'Reliquidación AR'!$B43,'Entrada AR'!H$8:H$43)</f>
        <v>0</v>
      </c>
      <c r="F43" s="35">
        <f>SUMIF('Entrada AR'!$E$8:$E$43,'Reliquidación AR'!$B43,'Entrada AR'!I$8:I$43)</f>
        <v>0</v>
      </c>
      <c r="G43" s="35">
        <f>SUMIF('Entrada AR'!$E$8:$E$43,'Reliquidación AR'!$B43,'Entrada AR'!J$8:J$43)</f>
        <v>135448.30084711089</v>
      </c>
      <c r="H43" s="35">
        <v>31173.618816351256</v>
      </c>
      <c r="I43" s="35">
        <f>H43*($I$4+1)</f>
        <v>31477.780775339954</v>
      </c>
      <c r="J43" s="35">
        <v>0</v>
      </c>
      <c r="K43" s="35">
        <f t="shared" si="3"/>
        <v>0</v>
      </c>
      <c r="L43" s="35">
        <f>+'Reliquidación TD'!O43</f>
        <v>0</v>
      </c>
      <c r="M43" s="35">
        <f t="shared" si="0"/>
        <v>166926.08162245085</v>
      </c>
      <c r="N43" s="35">
        <f t="shared" si="4"/>
        <v>0</v>
      </c>
      <c r="O43" s="35">
        <f t="shared" si="5"/>
        <v>166926.08162245085</v>
      </c>
      <c r="P43" s="35">
        <f>IF(OR($N$44=0,$O$44=0),0,(N43/$N$44-O43/$O$44)*$O$49)</f>
        <v>-129035.70691795336</v>
      </c>
      <c r="Q43" s="35">
        <f t="shared" si="6"/>
        <v>37890.374704497488</v>
      </c>
      <c r="R43" s="35">
        <v>0</v>
      </c>
      <c r="S43" s="35">
        <f t="shared" si="7"/>
        <v>37890.374704497488</v>
      </c>
    </row>
    <row r="44" spans="2:19" x14ac:dyDescent="0.2">
      <c r="B44" s="36" t="s">
        <v>66</v>
      </c>
      <c r="C44" s="13">
        <f t="shared" ref="C44:Q44" si="8">SUM(C9:C43)</f>
        <v>418782840.21509999</v>
      </c>
      <c r="D44" s="13">
        <f t="shared" si="8"/>
        <v>1652358746.58022</v>
      </c>
      <c r="E44" s="13">
        <f t="shared" si="8"/>
        <v>12864231.053000001</v>
      </c>
      <c r="F44" s="13">
        <f t="shared" si="8"/>
        <v>4578213.0927999998</v>
      </c>
      <c r="G44" s="13">
        <f t="shared" si="8"/>
        <v>131818184.24724589</v>
      </c>
      <c r="H44" s="13">
        <f t="shared" si="8"/>
        <v>516664963.72507197</v>
      </c>
      <c r="I44" s="13">
        <f t="shared" si="8"/>
        <v>521706079.69024855</v>
      </c>
      <c r="J44" s="13">
        <f t="shared" si="8"/>
        <v>0</v>
      </c>
      <c r="K44" s="13">
        <f t="shared" si="8"/>
        <v>0</v>
      </c>
      <c r="L44" s="13">
        <f t="shared" si="8"/>
        <v>-7.2759576141834259E-12</v>
      </c>
      <c r="M44" s="13">
        <f>SUM(M9:M43)</f>
        <v>653524263.93749475</v>
      </c>
      <c r="N44" s="13">
        <f t="shared" si="8"/>
        <v>2225577499.3748016</v>
      </c>
      <c r="O44" s="13">
        <f>SUM(O9:O43)</f>
        <v>2879101763.3122964</v>
      </c>
      <c r="P44" s="13">
        <f t="shared" si="8"/>
        <v>8.3411578088998795E-8</v>
      </c>
      <c r="Q44" s="13">
        <f t="shared" si="8"/>
        <v>653524263.93749464</v>
      </c>
      <c r="R44" s="13">
        <f t="shared" ref="R44:S44" si="9">SUM(R9:R43)</f>
        <v>0</v>
      </c>
      <c r="S44" s="13">
        <f t="shared" si="9"/>
        <v>653524263.93749464</v>
      </c>
    </row>
    <row r="45" spans="2:19" x14ac:dyDescent="0.2">
      <c r="B45" s="40"/>
      <c r="C45"/>
      <c r="D45"/>
      <c r="E45"/>
      <c r="F45"/>
      <c r="G45"/>
      <c r="H45"/>
      <c r="I45"/>
      <c r="J45"/>
      <c r="K45"/>
      <c r="L45"/>
      <c r="M45"/>
      <c r="N45" s="41"/>
      <c r="O45" s="41"/>
      <c r="P45"/>
    </row>
    <row r="46" spans="2:19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2:19" x14ac:dyDescent="0.2">
      <c r="B47"/>
      <c r="C47"/>
      <c r="H47" s="48"/>
      <c r="I47" s="14"/>
      <c r="J47" s="14"/>
      <c r="K47" s="14"/>
      <c r="L47" s="14"/>
      <c r="M47" s="14"/>
      <c r="N47" s="4" t="s">
        <v>75</v>
      </c>
      <c r="O47" s="43">
        <f>O44</f>
        <v>2879101763.3122964</v>
      </c>
      <c r="P47"/>
    </row>
    <row r="48" spans="2:19" x14ac:dyDescent="0.2">
      <c r="B48"/>
      <c r="C48"/>
      <c r="H48" s="42"/>
      <c r="I48" s="14"/>
      <c r="J48" s="14"/>
      <c r="K48" s="14"/>
      <c r="L48" s="14"/>
      <c r="M48" s="14"/>
      <c r="N48" s="4" t="s">
        <v>76</v>
      </c>
      <c r="O48" s="43">
        <f>N44</f>
        <v>2225577499.3748016</v>
      </c>
      <c r="P48"/>
      <c r="Q48" s="44"/>
    </row>
    <row r="49" spans="2:17" x14ac:dyDescent="0.2">
      <c r="B49"/>
      <c r="C49"/>
      <c r="H49" s="42"/>
      <c r="I49"/>
      <c r="J49"/>
      <c r="K49"/>
      <c r="L49"/>
      <c r="M49"/>
      <c r="N49" s="4" t="s">
        <v>69</v>
      </c>
      <c r="O49" s="43">
        <f>+IF(O48&lt;O47,O48,O47)</f>
        <v>2225577499.3748016</v>
      </c>
      <c r="P49"/>
      <c r="Q49" s="44"/>
    </row>
    <row r="50" spans="2:17" x14ac:dyDescent="0.2">
      <c r="B50"/>
      <c r="N50" s="14"/>
      <c r="O50"/>
    </row>
    <row r="51" spans="2:17" x14ac:dyDescent="0.2">
      <c r="B51"/>
      <c r="G51" s="44"/>
      <c r="J51"/>
    </row>
    <row r="52" spans="2:17" x14ac:dyDescent="0.2">
      <c r="B52"/>
    </row>
    <row r="53" spans="2:17" x14ac:dyDescent="0.2">
      <c r="B53"/>
    </row>
    <row r="54" spans="2:17" x14ac:dyDescent="0.2">
      <c r="B54"/>
    </row>
    <row r="55" spans="2:17" x14ac:dyDescent="0.2">
      <c r="B55"/>
    </row>
    <row r="56" spans="2:17" x14ac:dyDescent="0.2">
      <c r="B56"/>
    </row>
    <row r="57" spans="2:17" x14ac:dyDescent="0.2">
      <c r="B57"/>
    </row>
    <row r="58" spans="2:17" x14ac:dyDescent="0.2">
      <c r="B58"/>
    </row>
    <row r="59" spans="2:17" x14ac:dyDescent="0.2">
      <c r="B59"/>
    </row>
    <row r="60" spans="2:17" x14ac:dyDescent="0.2">
      <c r="B60"/>
    </row>
    <row r="61" spans="2:17" x14ac:dyDescent="0.2">
      <c r="B61"/>
    </row>
    <row r="62" spans="2:17" x14ac:dyDescent="0.2">
      <c r="B62"/>
    </row>
    <row r="63" spans="2:17" x14ac:dyDescent="0.2">
      <c r="B63"/>
    </row>
    <row r="64" spans="2:17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</sheetData>
  <dataConsolidate/>
  <mergeCells count="18">
    <mergeCell ref="G6:G7"/>
    <mergeCell ref="B6:B8"/>
    <mergeCell ref="C6:C7"/>
    <mergeCell ref="D6:D7"/>
    <mergeCell ref="E6:E7"/>
    <mergeCell ref="F6:F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</mergeCells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E707-8CB6-4F6B-8756-E50D6E3BC6DF}">
  <sheetPr codeName="Hoja1">
    <tabColor theme="8" tint="0.59999389629810485"/>
  </sheetPr>
  <dimension ref="A2:S76"/>
  <sheetViews>
    <sheetView showGridLines="0" zoomScale="70" zoomScaleNormal="70" workbookViewId="0"/>
  </sheetViews>
  <sheetFormatPr baseColWidth="10" defaultColWidth="11.42578125" defaultRowHeight="12.75" x14ac:dyDescent="0.2"/>
  <cols>
    <col min="1" max="1" width="11.42578125" style="17"/>
    <col min="2" max="2" width="24" style="17" customWidth="1"/>
    <col min="3" max="3" width="17.5703125" style="17" customWidth="1"/>
    <col min="4" max="4" width="12.85546875" style="17" bestFit="1" customWidth="1"/>
    <col min="5" max="5" width="15.5703125" style="17" customWidth="1"/>
    <col min="6" max="6" width="20" style="17" customWidth="1"/>
    <col min="7" max="7" width="16.5703125" style="17" customWidth="1"/>
    <col min="8" max="8" width="20.140625" style="17" customWidth="1"/>
    <col min="9" max="9" width="8" style="17" customWidth="1"/>
    <col min="10" max="10" width="15.140625" style="17" customWidth="1"/>
    <col min="11" max="11" width="15.42578125" style="17" customWidth="1"/>
    <col min="12" max="12" width="16.5703125" style="17" customWidth="1"/>
    <col min="13" max="13" width="14.85546875" style="17" customWidth="1"/>
    <col min="14" max="14" width="20.28515625" style="17" customWidth="1"/>
    <col min="15" max="15" width="15.140625" style="17" customWidth="1"/>
    <col min="16" max="16" width="10.85546875" style="17" bestFit="1" customWidth="1"/>
    <col min="17" max="17" width="15.42578125" style="17" customWidth="1"/>
    <col min="18" max="18" width="12.85546875" style="17" customWidth="1"/>
    <col min="19" max="19" width="13.140625" style="17" customWidth="1"/>
    <col min="20" max="16384" width="11.42578125" style="17"/>
  </cols>
  <sheetData>
    <row r="2" spans="1:16" x14ac:dyDescent="0.2">
      <c r="B2" s="22" t="s">
        <v>77</v>
      </c>
      <c r="C2" s="22"/>
      <c r="D2" s="22"/>
      <c r="E2" s="22"/>
      <c r="F2" s="22"/>
      <c r="G2" s="22"/>
      <c r="H2" s="22"/>
      <c r="I2" s="22"/>
      <c r="J2" s="22"/>
    </row>
    <row r="3" spans="1:16" x14ac:dyDescent="0.2">
      <c r="B3" s="18">
        <f>FechaFacturacion</f>
        <v>45566</v>
      </c>
      <c r="C3" s="49"/>
      <c r="D3" s="49"/>
      <c r="E3" s="49"/>
      <c r="F3" s="49"/>
      <c r="G3" s="49"/>
      <c r="H3" s="49"/>
      <c r="I3" s="49"/>
      <c r="J3" s="49"/>
    </row>
    <row r="6" spans="1:16" ht="12.75" customHeight="1" x14ac:dyDescent="0.2">
      <c r="B6" s="105" t="s">
        <v>6</v>
      </c>
      <c r="C6" s="102" t="s">
        <v>78</v>
      </c>
      <c r="D6" s="50"/>
      <c r="E6" s="50"/>
      <c r="F6" s="105" t="s">
        <v>6</v>
      </c>
      <c r="G6" s="102" t="s">
        <v>79</v>
      </c>
      <c r="H6" s="102" t="s">
        <v>80</v>
      </c>
      <c r="I6" s="50"/>
      <c r="J6" s="102" t="s">
        <v>81</v>
      </c>
      <c r="K6" s="107" cm="1">
        <f t="array" ref="K6">SUMPRODUCT(($H$8:$H$32&gt;0)*($H$8:$H$32))</f>
        <v>2018478790.4696772</v>
      </c>
      <c r="N6" s="51"/>
      <c r="O6"/>
    </row>
    <row r="7" spans="1:16" ht="26.25" customHeight="1" x14ac:dyDescent="0.2">
      <c r="B7" s="105"/>
      <c r="C7" s="103"/>
      <c r="D7" s="50"/>
      <c r="E7" s="50"/>
      <c r="F7" s="105"/>
      <c r="G7" s="103"/>
      <c r="H7" s="103"/>
      <c r="I7"/>
      <c r="J7" s="103"/>
      <c r="K7" s="108"/>
      <c r="M7"/>
      <c r="N7"/>
      <c r="O7"/>
      <c r="P7"/>
    </row>
    <row r="8" spans="1:16" x14ac:dyDescent="0.2">
      <c r="B8" s="30" t="s">
        <v>14</v>
      </c>
      <c r="C8" s="31">
        <f>'Reliquidación AR'!$P9+'Reliquidación AR'!L9</f>
        <v>7952159.7601680513</v>
      </c>
      <c r="D8" s="52"/>
      <c r="E8" s="52"/>
      <c r="F8" s="30" t="s">
        <v>14</v>
      </c>
      <c r="G8" s="33">
        <v>0</v>
      </c>
      <c r="H8" s="33">
        <f>VLOOKUP(F8,$B$8:$C$42,2,0)+G8</f>
        <v>7952159.7601680513</v>
      </c>
      <c r="I8" s="53"/>
      <c r="J8"/>
      <c r="K8"/>
      <c r="M8"/>
      <c r="N8"/>
      <c r="O8"/>
      <c r="P8"/>
    </row>
    <row r="9" spans="1:16" x14ac:dyDescent="0.2">
      <c r="B9" s="32" t="s">
        <v>15</v>
      </c>
      <c r="C9" s="33">
        <f>'Reliquidación AR'!$P10+'Reliquidación AR'!L10</f>
        <v>28907500.99154764</v>
      </c>
      <c r="D9" s="52"/>
      <c r="E9" s="52"/>
      <c r="F9" s="32" t="s">
        <v>15</v>
      </c>
      <c r="G9" s="33">
        <v>0</v>
      </c>
      <c r="H9" s="33">
        <f>VLOOKUP(F9,$B$8:$C$42,2,0)+G9</f>
        <v>28907500.99154764</v>
      </c>
      <c r="I9" s="53"/>
      <c r="J9"/>
      <c r="K9"/>
      <c r="M9"/>
      <c r="N9"/>
      <c r="O9"/>
      <c r="P9"/>
    </row>
    <row r="10" spans="1:16" x14ac:dyDescent="0.2">
      <c r="B10" s="32" t="s">
        <v>16</v>
      </c>
      <c r="C10" s="33">
        <f>'Reliquidación AR'!$P11+'Reliquidación AR'!L11</f>
        <v>-14306070.591623677</v>
      </c>
      <c r="D10" s="52"/>
      <c r="E10" s="52"/>
      <c r="F10" s="32" t="s">
        <v>16</v>
      </c>
      <c r="G10" s="33">
        <v>0</v>
      </c>
      <c r="H10" s="33">
        <f>VLOOKUP(F10,$B$8:$C$42,2,0)+G10</f>
        <v>-14306070.591623677</v>
      </c>
      <c r="I10" s="53"/>
      <c r="J10"/>
      <c r="K10"/>
      <c r="M10"/>
      <c r="N10"/>
      <c r="O10"/>
      <c r="P10"/>
    </row>
    <row r="11" spans="1:16" x14ac:dyDescent="0.2">
      <c r="B11" s="32" t="s">
        <v>17</v>
      </c>
      <c r="C11" s="33">
        <f>'Reliquidación AR'!$P12+'Reliquidación AR'!L12</f>
        <v>-2960202.6515497235</v>
      </c>
      <c r="D11" s="52"/>
      <c r="E11" s="52"/>
      <c r="F11" s="32" t="s">
        <v>17</v>
      </c>
      <c r="G11" s="33">
        <v>0</v>
      </c>
      <c r="H11" s="33">
        <f>VLOOKUP(F11,$B$8:$C$42,2,0)+G11</f>
        <v>-2960202.6515497235</v>
      </c>
      <c r="I11" s="53"/>
      <c r="J11"/>
      <c r="K11"/>
      <c r="L11"/>
      <c r="M11"/>
      <c r="N11"/>
      <c r="O11"/>
      <c r="P11"/>
    </row>
    <row r="12" spans="1:16" x14ac:dyDescent="0.2">
      <c r="B12" s="32" t="s">
        <v>18</v>
      </c>
      <c r="C12" s="33">
        <f>'Reliquidación AR'!$P13+'Reliquidación AR'!L13</f>
        <v>1502866976.3714433</v>
      </c>
      <c r="D12" s="52"/>
      <c r="E12" s="52"/>
      <c r="F12" s="32" t="s">
        <v>82</v>
      </c>
      <c r="G12" s="33">
        <v>0</v>
      </c>
      <c r="H12" s="33">
        <f>C12+C13+C14+C15+C16+C18+C19+C20+C37+C38+C39+G12</f>
        <v>1862708846.8489878</v>
      </c>
      <c r="I12" s="53"/>
      <c r="J12"/>
      <c r="K12"/>
      <c r="L12"/>
      <c r="M12"/>
      <c r="N12"/>
      <c r="O12"/>
      <c r="P12"/>
    </row>
    <row r="13" spans="1:16" x14ac:dyDescent="0.2">
      <c r="B13" s="32" t="s">
        <v>20</v>
      </c>
      <c r="C13" s="33">
        <f>'Reliquidación AR'!$P14+'Reliquidación AR'!L14</f>
        <v>-1931665.3400388425</v>
      </c>
      <c r="D13" s="52"/>
      <c r="E13" s="52"/>
      <c r="F13" s="32" t="s">
        <v>83</v>
      </c>
      <c r="G13" s="33">
        <v>0</v>
      </c>
      <c r="H13" s="33">
        <f>C17+G13</f>
        <v>-1177257126.8368258</v>
      </c>
      <c r="I13" s="53"/>
      <c r="J13"/>
      <c r="K13"/>
      <c r="L13"/>
      <c r="M13"/>
      <c r="N13"/>
      <c r="O13"/>
      <c r="P13"/>
    </row>
    <row r="14" spans="1:16" x14ac:dyDescent="0.2">
      <c r="B14" s="32" t="s">
        <v>21</v>
      </c>
      <c r="C14" s="33">
        <f>'Reliquidación AR'!$P15+'Reliquidación AR'!L15</f>
        <v>158288803.77337101</v>
      </c>
      <c r="D14" s="52"/>
      <c r="E14" s="52"/>
      <c r="F14" s="32" t="s">
        <v>29</v>
      </c>
      <c r="G14" s="33">
        <v>0</v>
      </c>
      <c r="H14" s="33">
        <f t="shared" ref="H14:H32" si="0">VLOOKUP(F14,$B$8:$C$42,2,0)+G14</f>
        <v>118910282.8689737</v>
      </c>
      <c r="I14" s="53"/>
      <c r="J14"/>
      <c r="K14"/>
      <c r="L14"/>
      <c r="M14"/>
      <c r="N14"/>
      <c r="O14"/>
      <c r="P14"/>
    </row>
    <row r="15" spans="1:16" x14ac:dyDescent="0.2">
      <c r="B15" s="32" t="s">
        <v>22</v>
      </c>
      <c r="C15" s="33">
        <f>'Reliquidación AR'!$P16+'Reliquidación AR'!L16</f>
        <v>0</v>
      </c>
      <c r="D15" s="52"/>
      <c r="E15" s="52"/>
      <c r="F15" s="32" t="s">
        <v>30</v>
      </c>
      <c r="G15" s="33">
        <v>0</v>
      </c>
      <c r="H15" s="33">
        <f t="shared" si="0"/>
        <v>-27804666.285913374</v>
      </c>
      <c r="I15" s="53"/>
      <c r="J15"/>
      <c r="K15"/>
      <c r="L15"/>
      <c r="M15"/>
      <c r="N15"/>
      <c r="O15"/>
      <c r="P15"/>
    </row>
    <row r="16" spans="1:16" x14ac:dyDescent="0.2">
      <c r="A16"/>
      <c r="B16" s="32" t="s">
        <v>23</v>
      </c>
      <c r="C16" s="33">
        <f>'Reliquidación AR'!$P17+'Reliquidación AR'!L17</f>
        <v>0</v>
      </c>
      <c r="D16" s="52"/>
      <c r="E16" s="52"/>
      <c r="F16" s="32" t="s">
        <v>31</v>
      </c>
      <c r="G16" s="33">
        <v>0</v>
      </c>
      <c r="H16" s="33">
        <f t="shared" si="0"/>
        <v>-24058142.715475816</v>
      </c>
      <c r="I16" s="53"/>
      <c r="J16"/>
      <c r="K16"/>
      <c r="L16"/>
      <c r="M16"/>
      <c r="N16"/>
      <c r="O16"/>
      <c r="P16"/>
    </row>
    <row r="17" spans="1:16" x14ac:dyDescent="0.2">
      <c r="B17" s="32" t="s">
        <v>24</v>
      </c>
      <c r="C17" s="33">
        <f>'Reliquidación AR'!$P18+'Reliquidación AR'!L18</f>
        <v>-1177257126.8368258</v>
      </c>
      <c r="D17" s="52"/>
      <c r="E17" s="52"/>
      <c r="F17" s="32" t="s">
        <v>32</v>
      </c>
      <c r="G17" s="33">
        <v>0</v>
      </c>
      <c r="H17" s="33">
        <f t="shared" si="0"/>
        <v>-2790983.4913887382</v>
      </c>
      <c r="I17" s="53"/>
      <c r="J17"/>
      <c r="K17"/>
      <c r="L17"/>
      <c r="M17"/>
      <c r="N17"/>
      <c r="O17"/>
      <c r="P17"/>
    </row>
    <row r="18" spans="1:16" x14ac:dyDescent="0.2">
      <c r="B18" s="32" t="s">
        <v>26</v>
      </c>
      <c r="C18" s="33">
        <f>'Reliquidación AR'!$P19+'Reliquidación AR'!L19</f>
        <v>338812963.12748075</v>
      </c>
      <c r="D18" s="52"/>
      <c r="E18" s="52"/>
      <c r="F18" s="32" t="s">
        <v>33</v>
      </c>
      <c r="G18" s="33">
        <v>0</v>
      </c>
      <c r="H18" s="33">
        <f t="shared" si="0"/>
        <v>-4522520.1137943678</v>
      </c>
      <c r="I18" s="53"/>
      <c r="J18"/>
      <c r="K18"/>
      <c r="L18"/>
      <c r="M18"/>
      <c r="N18"/>
      <c r="O18"/>
      <c r="P18"/>
    </row>
    <row r="19" spans="1:16" x14ac:dyDescent="0.2">
      <c r="B19" s="32" t="s">
        <v>27</v>
      </c>
      <c r="C19" s="33">
        <f>'Reliquidación AR'!$P20+'Reliquidación AR'!L20</f>
        <v>69954112.568996012</v>
      </c>
      <c r="D19" s="52"/>
      <c r="E19" s="52"/>
      <c r="F19" s="32" t="s">
        <v>34</v>
      </c>
      <c r="G19" s="33">
        <v>0</v>
      </c>
      <c r="H19" s="33">
        <f t="shared" si="0"/>
        <v>-12406064.430197923</v>
      </c>
      <c r="I19" s="53"/>
      <c r="J19"/>
      <c r="K19"/>
      <c r="L19"/>
      <c r="M19"/>
      <c r="N19"/>
      <c r="O19"/>
      <c r="P19"/>
    </row>
    <row r="20" spans="1:16" x14ac:dyDescent="0.2">
      <c r="B20" s="32" t="s">
        <v>28</v>
      </c>
      <c r="C20" s="33">
        <f>'Reliquidación AR'!$P21+'Reliquidación AR'!L21</f>
        <v>0</v>
      </c>
      <c r="D20" s="52"/>
      <c r="E20" s="52"/>
      <c r="F20" s="32" t="s">
        <v>35</v>
      </c>
      <c r="G20" s="33">
        <v>0</v>
      </c>
      <c r="H20" s="33">
        <f t="shared" si="0"/>
        <v>-140871614.51386419</v>
      </c>
      <c r="I20" s="53"/>
      <c r="J20"/>
      <c r="K20"/>
      <c r="L20"/>
      <c r="M20"/>
      <c r="N20"/>
      <c r="O20"/>
      <c r="P20"/>
    </row>
    <row r="21" spans="1:16" x14ac:dyDescent="0.2">
      <c r="B21" s="32" t="s">
        <v>29</v>
      </c>
      <c r="C21" s="33">
        <f>'Reliquidación AR'!$P22+'Reliquidación AR'!L22</f>
        <v>118910282.8689737</v>
      </c>
      <c r="D21" s="52"/>
      <c r="E21" s="52"/>
      <c r="F21" s="32" t="s">
        <v>36</v>
      </c>
      <c r="G21" s="33">
        <v>0</v>
      </c>
      <c r="H21" s="33">
        <f t="shared" si="0"/>
        <v>-22538934.352056988</v>
      </c>
      <c r="I21" s="53"/>
      <c r="J21"/>
      <c r="K21"/>
      <c r="L21"/>
      <c r="M21"/>
      <c r="N21"/>
      <c r="O21"/>
      <c r="P21"/>
    </row>
    <row r="22" spans="1:16" x14ac:dyDescent="0.2">
      <c r="B22" s="32" t="s">
        <v>30</v>
      </c>
      <c r="C22" s="33">
        <f>'Reliquidación AR'!$P23+'Reliquidación AR'!L23</f>
        <v>-27804666.285913374</v>
      </c>
      <c r="D22" s="52"/>
      <c r="E22" s="52"/>
      <c r="F22" s="32" t="s">
        <v>37</v>
      </c>
      <c r="G22" s="33">
        <v>0</v>
      </c>
      <c r="H22" s="33">
        <f t="shared" si="0"/>
        <v>-252157682.66959018</v>
      </c>
      <c r="I22" s="53"/>
      <c r="J22"/>
      <c r="K22"/>
      <c r="L22"/>
      <c r="M22"/>
      <c r="N22"/>
      <c r="O22"/>
      <c r="P22"/>
    </row>
    <row r="23" spans="1:16" x14ac:dyDescent="0.2">
      <c r="B23" s="32" t="s">
        <v>31</v>
      </c>
      <c r="C23" s="33">
        <f>'Reliquidación AR'!$P24+'Reliquidación AR'!L24</f>
        <v>-24058142.715475816</v>
      </c>
      <c r="D23" s="52"/>
      <c r="E23" s="52"/>
      <c r="F23" s="32" t="s">
        <v>38</v>
      </c>
      <c r="G23" s="33">
        <v>0</v>
      </c>
      <c r="H23" s="33">
        <f t="shared" si="0"/>
        <v>-6939679.2380028488</v>
      </c>
      <c r="I23" s="53"/>
      <c r="J23"/>
      <c r="K23"/>
      <c r="L23"/>
      <c r="M23"/>
      <c r="N23"/>
      <c r="O23"/>
      <c r="P23"/>
    </row>
    <row r="24" spans="1:16" x14ac:dyDescent="0.2">
      <c r="B24" s="32" t="s">
        <v>32</v>
      </c>
      <c r="C24" s="33">
        <f>'Reliquidación AR'!$P25+'Reliquidación AR'!L25</f>
        <v>-2790983.4913887382</v>
      </c>
      <c r="D24" s="52"/>
      <c r="E24" s="52"/>
      <c r="F24" s="32" t="s">
        <v>39</v>
      </c>
      <c r="G24" s="33">
        <v>0</v>
      </c>
      <c r="H24" s="33">
        <f t="shared" si="0"/>
        <v>-284443248.59177816</v>
      </c>
      <c r="I24" s="53"/>
      <c r="J24"/>
      <c r="K24"/>
      <c r="L24"/>
      <c r="M24"/>
      <c r="N24"/>
      <c r="O24"/>
      <c r="P24"/>
    </row>
    <row r="25" spans="1:16" x14ac:dyDescent="0.2">
      <c r="B25" s="32" t="s">
        <v>33</v>
      </c>
      <c r="C25" s="33">
        <f>'Reliquidación AR'!$P26+'Reliquidación AR'!L26</f>
        <v>-4522520.1137943678</v>
      </c>
      <c r="D25" s="52"/>
      <c r="E25" s="52"/>
      <c r="F25" s="32" t="s">
        <v>40</v>
      </c>
      <c r="G25" s="33">
        <v>0</v>
      </c>
      <c r="H25" s="33">
        <f t="shared" si="0"/>
        <v>-4716338.9425812252</v>
      </c>
      <c r="I25" s="53"/>
      <c r="J25"/>
      <c r="K25"/>
      <c r="L25"/>
      <c r="M25"/>
      <c r="N25"/>
      <c r="O25"/>
      <c r="P25"/>
    </row>
    <row r="26" spans="1:16" x14ac:dyDescent="0.2">
      <c r="B26" s="32" t="s">
        <v>34</v>
      </c>
      <c r="C26" s="33">
        <f>'Reliquidación AR'!$P27+'Reliquidación AR'!L27</f>
        <v>-12406064.430197923</v>
      </c>
      <c r="D26" s="52"/>
      <c r="E26" s="52"/>
      <c r="F26" s="32" t="s">
        <v>41</v>
      </c>
      <c r="G26" s="33">
        <v>0</v>
      </c>
      <c r="H26" s="33">
        <f t="shared" si="0"/>
        <v>-16317522.75764123</v>
      </c>
      <c r="I26" s="53"/>
      <c r="J26"/>
      <c r="K26"/>
      <c r="L26"/>
      <c r="M26"/>
      <c r="N26"/>
      <c r="O26"/>
      <c r="P26"/>
    </row>
    <row r="27" spans="1:16" x14ac:dyDescent="0.2">
      <c r="B27" s="32" t="s">
        <v>35</v>
      </c>
      <c r="C27" s="33">
        <f>'Reliquidación AR'!$P28+'Reliquidación AR'!L28</f>
        <v>-140871614.51386419</v>
      </c>
      <c r="D27" s="52"/>
      <c r="E27" s="52"/>
      <c r="F27" s="32" t="s">
        <v>42</v>
      </c>
      <c r="G27" s="33">
        <v>0</v>
      </c>
      <c r="H27" s="33">
        <f t="shared" si="0"/>
        <v>-12790355.703676218</v>
      </c>
      <c r="I27" s="53"/>
      <c r="J27"/>
      <c r="K27"/>
      <c r="L27"/>
      <c r="M27"/>
      <c r="N27"/>
      <c r="O27"/>
      <c r="P27"/>
    </row>
    <row r="28" spans="1:16" x14ac:dyDescent="0.2">
      <c r="B28" s="32" t="s">
        <v>36</v>
      </c>
      <c r="C28" s="33">
        <f>'Reliquidación AR'!$P29+'Reliquidación AR'!L29</f>
        <v>-22538934.352056988</v>
      </c>
      <c r="D28" s="52"/>
      <c r="E28" s="52"/>
      <c r="F28" s="32" t="s">
        <v>43</v>
      </c>
      <c r="G28" s="33">
        <v>0</v>
      </c>
      <c r="H28" s="33">
        <f t="shared" si="0"/>
        <v>-8867693.7424011994</v>
      </c>
      <c r="I28" s="53"/>
      <c r="J28"/>
      <c r="K28"/>
      <c r="L28"/>
      <c r="M28"/>
      <c r="N28"/>
      <c r="O28"/>
      <c r="P28"/>
    </row>
    <row r="29" spans="1:16" x14ac:dyDescent="0.2">
      <c r="A29"/>
      <c r="B29" s="32" t="s">
        <v>37</v>
      </c>
      <c r="C29" s="33">
        <f>'Reliquidación AR'!$P30+'Reliquidación AR'!L30</f>
        <v>-252157682.66959018</v>
      </c>
      <c r="D29" s="52"/>
      <c r="E29" s="52"/>
      <c r="F29" s="32" t="s">
        <v>45</v>
      </c>
      <c r="G29" s="33">
        <v>0</v>
      </c>
      <c r="H29" s="33">
        <f t="shared" si="0"/>
        <v>-2590597.6281357966</v>
      </c>
      <c r="I29" s="53"/>
      <c r="J29"/>
      <c r="K29"/>
      <c r="L29"/>
      <c r="M29"/>
      <c r="N29"/>
      <c r="O29"/>
      <c r="P29"/>
    </row>
    <row r="30" spans="1:16" x14ac:dyDescent="0.2">
      <c r="B30" s="32" t="s">
        <v>38</v>
      </c>
      <c r="C30" s="33">
        <f>'Reliquidación AR'!$P31+'Reliquidación AR'!L31</f>
        <v>-6939679.2380028488</v>
      </c>
      <c r="D30" s="52"/>
      <c r="E30" s="52"/>
      <c r="F30" s="32" t="s">
        <v>49</v>
      </c>
      <c r="G30" s="33">
        <v>0</v>
      </c>
      <c r="H30" s="33">
        <f t="shared" si="0"/>
        <v>0</v>
      </c>
      <c r="I30" s="53"/>
      <c r="J30"/>
      <c r="K30"/>
      <c r="L30"/>
      <c r="M30"/>
      <c r="N30"/>
      <c r="O30"/>
      <c r="P30"/>
    </row>
    <row r="31" spans="1:16" x14ac:dyDescent="0.2">
      <c r="A31"/>
      <c r="B31" s="32" t="s">
        <v>39</v>
      </c>
      <c r="C31" s="33">
        <f>'Reliquidación AR'!$P32+'Reliquidación AR'!L32</f>
        <v>-284443248.59177816</v>
      </c>
      <c r="D31" s="52"/>
      <c r="E31" s="52"/>
      <c r="F31" s="32" t="s">
        <v>50</v>
      </c>
      <c r="G31" s="33">
        <v>0</v>
      </c>
      <c r="H31" s="33">
        <f t="shared" si="0"/>
        <v>-10309.506261968787</v>
      </c>
      <c r="I31" s="53"/>
      <c r="J31"/>
      <c r="K31"/>
      <c r="L31"/>
      <c r="M31"/>
      <c r="N31"/>
      <c r="O31"/>
      <c r="P31"/>
    </row>
    <row r="32" spans="1:16" x14ac:dyDescent="0.2">
      <c r="A32"/>
      <c r="B32" s="32" t="s">
        <v>40</v>
      </c>
      <c r="C32" s="33">
        <f>'Reliquidación AR'!$P33+'Reliquidación AR'!L33</f>
        <v>-4716338.9425812252</v>
      </c>
      <c r="D32" s="52"/>
      <c r="E32" s="52"/>
      <c r="F32" s="34" t="s">
        <v>51</v>
      </c>
      <c r="G32" s="33">
        <v>0</v>
      </c>
      <c r="H32" s="33">
        <f t="shared" si="0"/>
        <v>-129035.70691795336</v>
      </c>
      <c r="I32" s="53"/>
      <c r="J32"/>
      <c r="K32"/>
      <c r="L32"/>
      <c r="M32"/>
      <c r="N32"/>
      <c r="O32"/>
      <c r="P32"/>
    </row>
    <row r="33" spans="1:19" x14ac:dyDescent="0.2">
      <c r="A33"/>
      <c r="B33" s="32" t="s">
        <v>41</v>
      </c>
      <c r="C33" s="33">
        <f>'Reliquidación AR'!$P34+'Reliquidación AR'!L34</f>
        <v>-16317522.75764123</v>
      </c>
      <c r="D33" s="52"/>
      <c r="E33" s="52"/>
      <c r="F33" s="36" t="s">
        <v>66</v>
      </c>
      <c r="G33" s="13">
        <f>SUM(G7:G32)</f>
        <v>0</v>
      </c>
      <c r="H33" s="13">
        <f>SUM(H7:H32)</f>
        <v>-2.2700987756252289E-9</v>
      </c>
      <c r="I33"/>
      <c r="J33"/>
      <c r="K33"/>
      <c r="L33"/>
      <c r="M33"/>
      <c r="N33"/>
      <c r="O33"/>
      <c r="P33"/>
    </row>
    <row r="34" spans="1:19" x14ac:dyDescent="0.2">
      <c r="B34" s="32" t="s">
        <v>42</v>
      </c>
      <c r="C34" s="33">
        <f>'Reliquidación AR'!$P35+'Reliquidación AR'!L35</f>
        <v>-12790355.703676218</v>
      </c>
      <c r="D34" s="52"/>
      <c r="E34" s="52"/>
      <c r="F34" s="54"/>
      <c r="G34" s="54"/>
      <c r="H34" s="14"/>
      <c r="I34"/>
      <c r="J34"/>
      <c r="K34"/>
      <c r="L34"/>
      <c r="M34"/>
      <c r="N34"/>
      <c r="O34"/>
      <c r="P34"/>
    </row>
    <row r="35" spans="1:19" x14ac:dyDescent="0.2">
      <c r="A35"/>
      <c r="B35" s="32" t="s">
        <v>43</v>
      </c>
      <c r="C35" s="33">
        <f>'Reliquidación AR'!$P36+'Reliquidación AR'!L36</f>
        <v>-8867693.7424011994</v>
      </c>
      <c r="D35" s="52"/>
      <c r="E35" s="52"/>
      <c r="F35" s="54"/>
      <c r="G35" s="54"/>
      <c r="H35" s="14"/>
      <c r="I35"/>
      <c r="J35"/>
      <c r="K35"/>
      <c r="L35"/>
      <c r="M35"/>
      <c r="N35"/>
      <c r="O35"/>
      <c r="P35"/>
    </row>
    <row r="36" spans="1:19" x14ac:dyDescent="0.2">
      <c r="A36"/>
      <c r="B36" s="32" t="s">
        <v>45</v>
      </c>
      <c r="C36" s="33">
        <f>'Reliquidación AR'!$P37+'Reliquidación AR'!L37</f>
        <v>-2590597.6281357966</v>
      </c>
      <c r="D36" s="52"/>
      <c r="E36" s="52"/>
      <c r="F36" s="54"/>
      <c r="G36" s="54"/>
      <c r="H36" s="14"/>
      <c r="I36" s="14"/>
      <c r="J36" s="14"/>
      <c r="K36" s="44"/>
      <c r="L36"/>
      <c r="M36"/>
      <c r="N36"/>
      <c r="O36"/>
      <c r="P36"/>
    </row>
    <row r="37" spans="1:19" x14ac:dyDescent="0.2">
      <c r="B37" s="32" t="s">
        <v>46</v>
      </c>
      <c r="C37" s="33">
        <f>'Reliquidación AR'!$P38+'Reliquidación AR'!L38</f>
        <v>-35829180.951959901</v>
      </c>
      <c r="D37" s="52"/>
      <c r="E37" s="52"/>
      <c r="F37" s="54"/>
      <c r="G37" s="54"/>
      <c r="H37" s="14"/>
      <c r="I37" s="14"/>
      <c r="J37" s="14"/>
      <c r="K37" s="44"/>
      <c r="L37"/>
      <c r="M37"/>
      <c r="N37"/>
      <c r="O37"/>
      <c r="P37"/>
    </row>
    <row r="38" spans="1:19" x14ac:dyDescent="0.2">
      <c r="B38" s="32" t="s">
        <v>47</v>
      </c>
      <c r="C38" s="33">
        <f>'Reliquidación AR'!$P39+'Reliquidación AR'!L39</f>
        <v>-57298315.26197733</v>
      </c>
      <c r="D38" s="52"/>
      <c r="E38" s="52"/>
      <c r="F38" s="54"/>
      <c r="G38" s="54"/>
      <c r="H38" s="14"/>
      <c r="I38" s="14"/>
      <c r="J38" s="14"/>
      <c r="K38" s="44"/>
      <c r="L38"/>
      <c r="M38"/>
      <c r="N38"/>
      <c r="O38"/>
      <c r="P38"/>
    </row>
    <row r="39" spans="1:19" x14ac:dyDescent="0.2">
      <c r="B39" s="32" t="s">
        <v>48</v>
      </c>
      <c r="C39" s="33">
        <f>'Reliquidación AR'!$P40+'Reliquidación AR'!L40</f>
        <v>-112154847.43832715</v>
      </c>
      <c r="D39" s="52"/>
      <c r="E39" s="52"/>
      <c r="F39" s="54"/>
      <c r="G39" s="54"/>
      <c r="H39" s="14"/>
      <c r="I39" s="14"/>
      <c r="J39" s="14"/>
      <c r="K39" s="44"/>
      <c r="L39"/>
      <c r="M39"/>
      <c r="N39"/>
      <c r="O39"/>
      <c r="P39"/>
    </row>
    <row r="40" spans="1:19" x14ac:dyDescent="0.2">
      <c r="B40" s="32" t="s">
        <v>49</v>
      </c>
      <c r="C40" s="33">
        <f>'Reliquidación AR'!$P41+'Reliquidación AR'!L41</f>
        <v>0</v>
      </c>
      <c r="D40" s="52"/>
      <c r="E40" s="52"/>
      <c r="F40" s="54"/>
      <c r="G40" s="54"/>
      <c r="H40" s="14"/>
      <c r="I40" s="14"/>
      <c r="J40" s="14"/>
      <c r="K40" s="44"/>
      <c r="L40"/>
      <c r="M40"/>
      <c r="N40"/>
      <c r="O40"/>
      <c r="P40"/>
    </row>
    <row r="41" spans="1:19" x14ac:dyDescent="0.2">
      <c r="B41" s="32" t="s">
        <v>50</v>
      </c>
      <c r="C41" s="33">
        <f>'Reliquidación AR'!$P42+'Reliquidación AR'!L42</f>
        <v>-10309.506261968787</v>
      </c>
      <c r="D41" s="52"/>
      <c r="E41" s="52"/>
      <c r="F41" s="54"/>
      <c r="G41" s="54"/>
      <c r="H41" s="14"/>
      <c r="I41" s="14"/>
      <c r="J41" s="14"/>
      <c r="K41" s="44"/>
      <c r="L41"/>
      <c r="M41"/>
      <c r="N41"/>
      <c r="O41"/>
      <c r="P41"/>
    </row>
    <row r="42" spans="1:19" x14ac:dyDescent="0.2">
      <c r="B42" s="34" t="s">
        <v>51</v>
      </c>
      <c r="C42" s="33">
        <f>'Reliquidación AR'!$P43+'Reliquidación AR'!L43</f>
        <v>-129035.70691795336</v>
      </c>
      <c r="D42" s="52"/>
      <c r="E42" s="52"/>
      <c r="F42" s="54"/>
      <c r="G42" s="54"/>
      <c r="H42" s="14"/>
      <c r="I42" s="14"/>
      <c r="J42" s="14"/>
      <c r="K42" s="44"/>
      <c r="L42"/>
      <c r="M42"/>
      <c r="N42"/>
      <c r="O42"/>
      <c r="P42"/>
      <c r="Q42" s="54"/>
      <c r="R42" s="55"/>
      <c r="S42" s="55"/>
    </row>
    <row r="43" spans="1:19" x14ac:dyDescent="0.2">
      <c r="B43" s="36" t="s">
        <v>66</v>
      </c>
      <c r="C43" s="13">
        <f>SUM(C8:C42)</f>
        <v>-5.9953890740871429E-9</v>
      </c>
      <c r="D43" s="56"/>
      <c r="E43" s="56"/>
      <c r="F43" s="54"/>
      <c r="G43" s="54"/>
      <c r="H43" s="14"/>
      <c r="K43" s="44"/>
      <c r="L43"/>
      <c r="M43"/>
      <c r="N43"/>
      <c r="O43"/>
      <c r="P43"/>
    </row>
    <row r="44" spans="1:19" x14ac:dyDescent="0.2">
      <c r="F44"/>
      <c r="G44"/>
      <c r="L44"/>
      <c r="M44"/>
    </row>
    <row r="45" spans="1:19" x14ac:dyDescent="0.2">
      <c r="B45" s="54"/>
      <c r="C45" s="55"/>
      <c r="D45" s="55"/>
      <c r="E45" s="55"/>
      <c r="F45"/>
      <c r="G45"/>
      <c r="I45"/>
      <c r="J45"/>
      <c r="L45"/>
      <c r="M45"/>
    </row>
    <row r="46" spans="1:19" x14ac:dyDescent="0.2">
      <c r="B46"/>
      <c r="C46"/>
      <c r="D46"/>
      <c r="E46"/>
      <c r="F46" s="14"/>
      <c r="G46" s="14"/>
      <c r="H46"/>
      <c r="I46"/>
      <c r="J46"/>
      <c r="K46"/>
      <c r="L46"/>
      <c r="M46"/>
      <c r="N46"/>
      <c r="O46"/>
    </row>
    <row r="47" spans="1:19" x14ac:dyDescent="0.2">
      <c r="B47" s="16" t="s">
        <v>84</v>
      </c>
      <c r="C47"/>
      <c r="D47"/>
      <c r="E47"/>
      <c r="F47" s="14"/>
      <c r="G47" s="14"/>
      <c r="H47"/>
      <c r="I47"/>
      <c r="J47"/>
      <c r="K47"/>
      <c r="L47"/>
      <c r="M47"/>
      <c r="N47"/>
      <c r="O47"/>
    </row>
    <row r="48" spans="1:19" ht="15" x14ac:dyDescent="0.25">
      <c r="B48"/>
      <c r="C48" s="57"/>
      <c r="D48" s="57"/>
      <c r="E48" s="57"/>
      <c r="F48"/>
      <c r="G48"/>
      <c r="H48"/>
      <c r="K48" s="57"/>
      <c r="L48" s="57"/>
      <c r="M48" s="57"/>
      <c r="N48" s="57"/>
      <c r="O48" s="57"/>
    </row>
    <row r="49" spans="2:10" x14ac:dyDescent="0.2">
      <c r="B49" s="109" t="s">
        <v>85</v>
      </c>
      <c r="C49" s="111" t="s">
        <v>86</v>
      </c>
      <c r="D49" s="112"/>
      <c r="E49" s="112"/>
      <c r="F49" s="113"/>
      <c r="G49" s="58" t="s">
        <v>52</v>
      </c>
      <c r="I49" s="59"/>
      <c r="J49" s="59"/>
    </row>
    <row r="50" spans="2:10" x14ac:dyDescent="0.2">
      <c r="B50" s="110"/>
      <c r="C50" s="39" t="s">
        <v>14</v>
      </c>
      <c r="D50" s="39" t="s">
        <v>15</v>
      </c>
      <c r="E50" s="4" t="s">
        <v>82</v>
      </c>
      <c r="F50" s="60" t="s">
        <v>29</v>
      </c>
      <c r="G50" s="58"/>
      <c r="I50" s="19"/>
    </row>
    <row r="51" spans="2:10" x14ac:dyDescent="0.2">
      <c r="B51" s="61" t="s">
        <v>16</v>
      </c>
      <c r="C51" s="62" cm="1">
        <f t="array" ref="C51">(VLOOKUP($B51,$F$8:$H$33,3,0)*(-(VLOOKUP(C$50,$F$8:$H$33,3,0))))/SUMPRODUCT(($H$8:$H$33&gt;0)*($H$8:$H$33))</f>
        <v>56361.334794289171</v>
      </c>
      <c r="D51" s="62" cm="1">
        <f t="array" ref="D51">(VLOOKUP($B51,$F$8:$H$33,3,0)*(-(VLOOKUP(D$50,$F$8:$H$33,3,0))))/SUMPRODUCT(($H$8:$H$33&gt;0)*($H$8:$H$33))</f>
        <v>204883.37641451409</v>
      </c>
      <c r="E51" s="62" cm="1">
        <f t="array" ref="E51">(VLOOKUP($B51,$F$8:$H$33,3,0)*(-(VLOOKUP(E$50,$F$8:$H$33,3,0))))/SUMPRODUCT(($H$8:$H$33&gt;0)*($H$8:$H$33))</f>
        <v>13202043.232003868</v>
      </c>
      <c r="F51" s="62" cm="1">
        <f t="array" ref="F51">(VLOOKUP($B51,$F$8:$H$33,3,0)*(-(VLOOKUP(F$50,$F$8:$H$33,3,0))))/SUMPRODUCT(($H$8:$H$33&gt;0)*($H$8:$H$33))</f>
        <v>842782.6484110055</v>
      </c>
      <c r="G51" s="63">
        <f>SUM(C51:F51)</f>
        <v>14306070.591623677</v>
      </c>
      <c r="H51" s="19"/>
      <c r="I51" s="14"/>
    </row>
    <row r="52" spans="2:10" x14ac:dyDescent="0.2">
      <c r="B52" s="61" t="s">
        <v>17</v>
      </c>
      <c r="C52" s="62" cm="1">
        <f t="array" ref="C52">(VLOOKUP($B52,$F$8:$H$33,3,0)*(-(VLOOKUP(C$50,$F$8:$H$33,3,0))))/SUMPRODUCT(($H$8:$H$33&gt;0)*($H$8:$H$33))</f>
        <v>11662.250066109928</v>
      </c>
      <c r="D52" s="62" cm="1">
        <f t="array" ref="D52">(VLOOKUP($B52,$F$8:$H$33,3,0)*(-(VLOOKUP(D$50,$F$8:$H$33,3,0))))/SUMPRODUCT(($H$8:$H$33&gt;0)*($H$8:$H$33))</f>
        <v>42394.332548296894</v>
      </c>
      <c r="E52" s="62" cm="1">
        <f t="array" ref="E52">(VLOOKUP($B52,$F$8:$H$33,3,0)*(-(VLOOKUP(E$50,$F$8:$H$33,3,0))))/SUMPRODUCT(($H$8:$H$33&gt;0)*($H$8:$H$33))</f>
        <v>2731758.0415221783</v>
      </c>
      <c r="F52" s="62" cm="1">
        <f t="array" ref="F52">(VLOOKUP($B52,$F$8:$H$33,3,0)*(-(VLOOKUP(F$50,$F$8:$H$33,3,0))))/SUMPRODUCT(($H$8:$H$33&gt;0)*($H$8:$H$33))</f>
        <v>174388.02741313796</v>
      </c>
      <c r="G52" s="63">
        <f>SUM(C52:F52)</f>
        <v>2960202.651549723</v>
      </c>
      <c r="H52" s="14"/>
      <c r="I52" s="14"/>
    </row>
    <row r="53" spans="2:10" x14ac:dyDescent="0.2">
      <c r="B53" s="60" t="s">
        <v>83</v>
      </c>
      <c r="C53" s="62" cm="1">
        <f t="array" ref="C53">(VLOOKUP($B53,$F$8:$H$33,3,0)*(-(VLOOKUP(C$50,$F$8:$H$33,3,0))))/SUMPRODUCT(($H$8:$H$33&gt;0)*($H$8:$H$33))</f>
        <v>4638015.9135704823</v>
      </c>
      <c r="D53" s="62" cm="1">
        <f t="array" ref="D53">(VLOOKUP($B53,$F$8:$H$33,3,0)*(-(VLOOKUP(D$50,$F$8:$H$33,3,0))))/SUMPRODUCT(($H$8:$H$33&gt;0)*($H$8:$H$33))</f>
        <v>16860004.535109982</v>
      </c>
      <c r="E53" s="62" cm="1">
        <f t="array" ref="E53">(VLOOKUP($B53,$F$8:$H$33,3,0)*(-(VLOOKUP(E$50,$F$8:$H$33,3,0))))/SUMPRODUCT(($H$8:$H$33&gt;0)*($H$8:$H$33))</f>
        <v>1086405899.1002409</v>
      </c>
      <c r="F53" s="62" cm="1">
        <f t="array" ref="F53">(VLOOKUP($B53,$F$8:$H$33,3,0)*(-(VLOOKUP(F$50,$F$8:$H$33,3,0))))/SUMPRODUCT(($H$8:$H$33&gt;0)*($H$8:$H$33))</f>
        <v>69353207.287904471</v>
      </c>
      <c r="G53" s="63">
        <f>SUM(C53:F53)</f>
        <v>1177257126.8368258</v>
      </c>
      <c r="H53" s="14"/>
      <c r="I53" s="14"/>
    </row>
    <row r="54" spans="2:10" x14ac:dyDescent="0.2">
      <c r="B54" s="60" t="s">
        <v>30</v>
      </c>
      <c r="C54" s="62" cm="1">
        <f t="array" ref="C54">(VLOOKUP($B54,$F$8:$H$33,3,0)*(-(VLOOKUP(C$50,$F$8:$H$33,3,0))))/SUMPRODUCT(($H$8:$H$33&gt;0)*($H$8:$H$33))</f>
        <v>109541.47718950886</v>
      </c>
      <c r="D54" s="62" cm="1">
        <f t="array" ref="D54">(VLOOKUP($B54,$F$8:$H$33,3,0)*(-(VLOOKUP(D$50,$F$8:$H$33,3,0))))/SUMPRODUCT(($H$8:$H$33&gt;0)*($H$8:$H$33))</f>
        <v>398202.55829523253</v>
      </c>
      <c r="E54" s="62" cm="1">
        <f t="array" ref="E54">(VLOOKUP($B54,$F$8:$H$33,3,0)*(-(VLOOKUP(E$50,$F$8:$H$33,3,0))))/SUMPRODUCT(($H$8:$H$33&gt;0)*($H$8:$H$33))</f>
        <v>25658925.978807643</v>
      </c>
      <c r="F54" s="62" cm="1">
        <f t="array" ref="F54">(VLOOKUP($B54,$F$8:$H$33,3,0)*(-(VLOOKUP(F$50,$F$8:$H$33,3,0))))/SUMPRODUCT(($H$8:$H$33&gt;0)*($H$8:$H$33))</f>
        <v>1637996.2716209895</v>
      </c>
      <c r="G54" s="63">
        <f>SUM(C54:F54)</f>
        <v>27804666.285913374</v>
      </c>
      <c r="H54" s="14"/>
      <c r="I54" s="14"/>
    </row>
    <row r="55" spans="2:10" x14ac:dyDescent="0.2">
      <c r="B55" s="60" t="s">
        <v>31</v>
      </c>
      <c r="C55" s="62" cm="1">
        <f t="array" ref="C55">(VLOOKUP($B55,$F$8:$H$33,3,0)*(-(VLOOKUP(C$50,$F$8:$H$33,3,0))))/SUMPRODUCT(($H$8:$H$33&gt;0)*($H$8:$H$33))</f>
        <v>94781.374622158037</v>
      </c>
      <c r="D55" s="62" cm="1">
        <f t="array" ref="D55">(VLOOKUP($B55,$F$8:$H$33,3,0)*(-(VLOOKUP(D$50,$F$8:$H$33,3,0))))/SUMPRODUCT(($H$8:$H$33&gt;0)*($H$8:$H$33))</f>
        <v>344546.98641672917</v>
      </c>
      <c r="E55" s="62" cm="1">
        <f t="array" ref="E55">(VLOOKUP($B55,$F$8:$H$33,3,0)*(-(VLOOKUP(E$50,$F$8:$H$33,3,0))))/SUMPRODUCT(($H$8:$H$33&gt;0)*($H$8:$H$33))</f>
        <v>22201528.936771628</v>
      </c>
      <c r="F55" s="62" cm="1">
        <f t="array" ref="F55">(VLOOKUP($B55,$F$8:$H$33,3,0)*(-(VLOOKUP(F$50,$F$8:$H$33,3,0))))/SUMPRODUCT(($H$8:$H$33&gt;0)*($H$8:$H$33))</f>
        <v>1417285.4176653011</v>
      </c>
      <c r="G55" s="63">
        <f>SUM(C55:F55)</f>
        <v>24058142.715475816</v>
      </c>
      <c r="H55" s="14"/>
      <c r="I55" s="14"/>
    </row>
    <row r="56" spans="2:10" x14ac:dyDescent="0.2">
      <c r="B56" s="60" t="s">
        <v>32</v>
      </c>
      <c r="C56" s="62" cm="1">
        <f t="array" ref="C56">(VLOOKUP($B56,$F$8:$H$33,3,0)*(-(VLOOKUP(C$50,$F$8:$H$33,3,0))))/SUMPRODUCT(($H$8:$H$33&gt;0)*($H$8:$H$33))</f>
        <v>10995.580789011157</v>
      </c>
      <c r="D56" s="62" cm="1">
        <f t="array" ref="D56">(VLOOKUP($B56,$F$8:$H$33,3,0)*(-(VLOOKUP(D$50,$F$8:$H$33,3,0))))/SUMPRODUCT(($H$8:$H$33&gt;0)*($H$8:$H$33))</f>
        <v>39970.872334972439</v>
      </c>
      <c r="E56" s="62" cm="1">
        <f t="array" ref="E56">(VLOOKUP($B56,$F$8:$H$33,3,0)*(-(VLOOKUP(E$50,$F$8:$H$33,3,0))))/SUMPRODUCT(($H$8:$H$33&gt;0)*($H$8:$H$33))</f>
        <v>2575597.8538717162</v>
      </c>
      <c r="F56" s="62" cm="1">
        <f t="array" ref="F56">(VLOOKUP($B56,$F$8:$H$33,3,0)*(-(VLOOKUP(F$50,$F$8:$H$33,3,0))))/SUMPRODUCT(($H$8:$H$33&gt;0)*($H$8:$H$33))</f>
        <v>164419.18439303825</v>
      </c>
      <c r="G56" s="63">
        <f t="shared" ref="G56:G71" si="1">SUM(C56:F56)</f>
        <v>2790983.4913887377</v>
      </c>
      <c r="H56" s="14"/>
      <c r="I56" s="14"/>
    </row>
    <row r="57" spans="2:10" x14ac:dyDescent="0.2">
      <c r="B57" s="61" t="s">
        <v>33</v>
      </c>
      <c r="C57" s="62" cm="1">
        <f t="array" ref="C57">(VLOOKUP($B57,$F$8:$H$33,3,0)*(-(VLOOKUP(C$50,$F$8:$H$33,3,0))))/SUMPRODUCT(($H$8:$H$33&gt;0)*($H$8:$H$33))</f>
        <v>17817.280336692485</v>
      </c>
      <c r="D57" s="62" cm="1">
        <f t="array" ref="D57">(VLOOKUP($B57,$F$8:$H$33,3,0)*(-(VLOOKUP(D$50,$F$8:$H$33,3,0))))/SUMPRODUCT(($H$8:$H$33&gt;0)*($H$8:$H$33))</f>
        <v>64768.951396008641</v>
      </c>
      <c r="E57" s="62" cm="1">
        <f t="array" ref="E57">(VLOOKUP($B57,$F$8:$H$33,3,0)*(-(VLOOKUP(E$50,$F$8:$H$33,3,0))))/SUMPRODUCT(($H$8:$H$33&gt;0)*($H$8:$H$33))</f>
        <v>4173508.4192076442</v>
      </c>
      <c r="F57" s="62" cm="1">
        <f t="array" ref="F57">(VLOOKUP($B57,$F$8:$H$33,3,0)*(-(VLOOKUP(F$50,$F$8:$H$33,3,0))))/SUMPRODUCT(($H$8:$H$33&gt;0)*($H$8:$H$33))</f>
        <v>266425.46285402257</v>
      </c>
      <c r="G57" s="63">
        <f t="shared" si="1"/>
        <v>4522520.1137943678</v>
      </c>
      <c r="H57" s="14"/>
      <c r="I57" s="14"/>
    </row>
    <row r="58" spans="2:10" x14ac:dyDescent="0.2">
      <c r="B58" s="61" t="s">
        <v>34</v>
      </c>
      <c r="C58" s="62" cm="1">
        <f t="array" ref="C58">(VLOOKUP($B58,$F$8:$H$33,3,0)*(-(VLOOKUP(C$50,$F$8:$H$33,3,0))))/SUMPRODUCT(($H$8:$H$33&gt;0)*($H$8:$H$33))</f>
        <v>48875.919236642665</v>
      </c>
      <c r="D58" s="62" cm="1">
        <f t="array" ref="D58">(VLOOKUP($B58,$F$8:$H$33,3,0)*(-(VLOOKUP(D$50,$F$8:$H$33,3,0))))/SUMPRODUCT(($H$8:$H$33&gt;0)*($H$8:$H$33))</f>
        <v>177672.57278621272</v>
      </c>
      <c r="E58" s="62" cm="1">
        <f t="array" ref="E58">(VLOOKUP($B58,$F$8:$H$33,3,0)*(-(VLOOKUP(E$50,$F$8:$H$33,3,0))))/SUMPRODUCT(($H$8:$H$33&gt;0)*($H$8:$H$33))</f>
        <v>11448664.250433387</v>
      </c>
      <c r="F58" s="62" cm="1">
        <f t="array" ref="F58">(VLOOKUP($B58,$F$8:$H$33,3,0)*(-(VLOOKUP(F$50,$F$8:$H$33,3,0))))/SUMPRODUCT(($H$8:$H$33&gt;0)*($H$8:$H$33))</f>
        <v>730851.68774167972</v>
      </c>
      <c r="G58" s="63">
        <f t="shared" si="1"/>
        <v>12406064.430197923</v>
      </c>
      <c r="H58" s="14"/>
      <c r="I58" s="14"/>
    </row>
    <row r="59" spans="2:10" x14ac:dyDescent="0.2">
      <c r="B59" s="61" t="s">
        <v>35</v>
      </c>
      <c r="C59" s="62" cm="1">
        <f t="array" ref="C59">(VLOOKUP($B59,$F$8:$H$33,3,0)*(-(VLOOKUP(C$50,$F$8:$H$33,3,0))))/SUMPRODUCT(($H$8:$H$33&gt;0)*($H$8:$H$33))</f>
        <v>554989.02915219171</v>
      </c>
      <c r="D59" s="62" cm="1">
        <f t="array" ref="D59">(VLOOKUP($B59,$F$8:$H$33,3,0)*(-(VLOOKUP(D$50,$F$8:$H$33,3,0))))/SUMPRODUCT(($H$8:$H$33&gt;0)*($H$8:$H$33))</f>
        <v>2017482.8467198708</v>
      </c>
      <c r="E59" s="62" cm="1">
        <f t="array" ref="E59">(VLOOKUP($B59,$F$8:$H$33,3,0)*(-(VLOOKUP(E$50,$F$8:$H$33,3,0))))/SUMPRODUCT(($H$8:$H$33&gt;0)*($H$8:$H$33))</f>
        <v>130000277.369185</v>
      </c>
      <c r="F59" s="62" cm="1">
        <f t="array" ref="F59">(VLOOKUP($B59,$F$8:$H$33,3,0)*(-(VLOOKUP(F$50,$F$8:$H$33,3,0))))/SUMPRODUCT(($H$8:$H$33&gt;0)*($H$8:$H$33))</f>
        <v>8298865.2688071216</v>
      </c>
      <c r="G59" s="63">
        <f t="shared" si="1"/>
        <v>140871614.51386419</v>
      </c>
      <c r="H59" s="14"/>
      <c r="I59" s="14"/>
    </row>
    <row r="60" spans="2:10" x14ac:dyDescent="0.2">
      <c r="B60" s="61" t="s">
        <v>36</v>
      </c>
      <c r="C60" s="62" cm="1">
        <f t="array" ref="C60">(VLOOKUP($B60,$F$8:$H$33,3,0)*(-(VLOOKUP(C$50,$F$8:$H$33,3,0))))/SUMPRODUCT(($H$8:$H$33&gt;0)*($H$8:$H$33))</f>
        <v>88796.180389783243</v>
      </c>
      <c r="D60" s="62" cm="1">
        <f t="array" ref="D60">(VLOOKUP($B60,$F$8:$H$33,3,0)*(-(VLOOKUP(D$50,$F$8:$H$33,3,0))))/SUMPRODUCT(($H$8:$H$33&gt;0)*($H$8:$H$33))</f>
        <v>322789.75147363701</v>
      </c>
      <c r="E60" s="62" cm="1">
        <f t="array" ref="E60">(VLOOKUP($B60,$F$8:$H$33,3,0)*(-(VLOOKUP(E$50,$F$8:$H$33,3,0))))/SUMPRODUCT(($H$8:$H$33&gt;0)*($H$8:$H$33))</f>
        <v>20799560.844707232</v>
      </c>
      <c r="F60" s="62" cm="1">
        <f t="array" ref="F60">(VLOOKUP($B60,$F$8:$H$33,3,0)*(-(VLOOKUP(F$50,$F$8:$H$33,3,0))))/SUMPRODUCT(($H$8:$H$33&gt;0)*($H$8:$H$33))</f>
        <v>1327787.5754863361</v>
      </c>
      <c r="G60" s="63">
        <f t="shared" si="1"/>
        <v>22538934.352056988</v>
      </c>
      <c r="H60" s="14"/>
      <c r="I60" s="14"/>
    </row>
    <row r="61" spans="2:10" x14ac:dyDescent="0.2">
      <c r="B61" s="61" t="s">
        <v>37</v>
      </c>
      <c r="C61" s="62" cm="1">
        <f t="array" ref="C61">(VLOOKUP($B61,$F$8:$H$33,3,0)*(-(VLOOKUP(C$50,$F$8:$H$33,3,0))))/SUMPRODUCT(($H$8:$H$33&gt;0)*($H$8:$H$33))</f>
        <v>993420.48418341461</v>
      </c>
      <c r="D61" s="62" cm="1">
        <f t="array" ref="D61">(VLOOKUP($B61,$F$8:$H$33,3,0)*(-(VLOOKUP(D$50,$F$8:$H$33,3,0))))/SUMPRODUCT(($H$8:$H$33&gt;0)*($H$8:$H$33))</f>
        <v>3611258.3873627959</v>
      </c>
      <c r="E61" s="62" cm="1">
        <f t="array" ref="E61">(VLOOKUP($B61,$F$8:$H$33,3,0)*(-(VLOOKUP(E$50,$F$8:$H$33,3,0))))/SUMPRODUCT(($H$8:$H$33&gt;0)*($H$8:$H$33))</f>
        <v>232698182.67463306</v>
      </c>
      <c r="F61" s="62" cm="1">
        <f t="array" ref="F61">(VLOOKUP($B61,$F$8:$H$33,3,0)*(-(VLOOKUP(F$50,$F$8:$H$33,3,0))))/SUMPRODUCT(($H$8:$H$33&gt;0)*($H$8:$H$33))</f>
        <v>14854821.123410916</v>
      </c>
      <c r="G61" s="63">
        <f t="shared" si="1"/>
        <v>252157682.66959018</v>
      </c>
      <c r="H61" s="14"/>
      <c r="I61" s="14"/>
    </row>
    <row r="62" spans="2:10" x14ac:dyDescent="0.2">
      <c r="B62" s="61" t="s">
        <v>38</v>
      </c>
      <c r="C62" s="62" cm="1">
        <f t="array" ref="C62">(VLOOKUP($B62,$F$8:$H$33,3,0)*(-(VLOOKUP(C$50,$F$8:$H$33,3,0))))/SUMPRODUCT(($H$8:$H$33&gt;0)*($H$8:$H$33))</f>
        <v>27340.112883761791</v>
      </c>
      <c r="D62" s="62" cm="1">
        <f t="array" ref="D62">(VLOOKUP($B62,$F$8:$H$33,3,0)*(-(VLOOKUP(D$50,$F$8:$H$33,3,0))))/SUMPRODUCT(($H$8:$H$33&gt;0)*($H$8:$H$33))</f>
        <v>99386.12454129901</v>
      </c>
      <c r="E62" s="62" cm="1">
        <f t="array" ref="E62">(VLOOKUP($B62,$F$8:$H$33,3,0)*(-(VLOOKUP(E$50,$F$8:$H$33,3,0))))/SUMPRODUCT(($H$8:$H$33&gt;0)*($H$8:$H$33))</f>
        <v>6404130.6611471865</v>
      </c>
      <c r="F62" s="62" cm="1">
        <f t="array" ref="F62">(VLOOKUP($B62,$F$8:$H$33,3,0)*(-(VLOOKUP(F$50,$F$8:$H$33,3,0))))/SUMPRODUCT(($H$8:$H$33&gt;0)*($H$8:$H$33))</f>
        <v>408822.33943060064</v>
      </c>
      <c r="G62" s="63">
        <f t="shared" si="1"/>
        <v>6939679.2380028479</v>
      </c>
      <c r="H62" s="14"/>
      <c r="I62" s="14"/>
    </row>
    <row r="63" spans="2:10" x14ac:dyDescent="0.2">
      <c r="B63" s="61" t="s">
        <v>39</v>
      </c>
      <c r="C63" s="62" cm="1">
        <f t="array" ref="C63">(VLOOKUP($B63,$F$8:$H$33,3,0)*(-(VLOOKUP(C$50,$F$8:$H$33,3,0))))/SUMPRODUCT(($H$8:$H$33&gt;0)*($H$8:$H$33))</f>
        <v>1120615.270362434</v>
      </c>
      <c r="D63" s="62" cm="1">
        <f t="array" ref="D63">(VLOOKUP($B63,$F$8:$H$33,3,0)*(-(VLOOKUP(D$50,$F$8:$H$33,3,0))))/SUMPRODUCT(($H$8:$H$33&gt;0)*($H$8:$H$33))</f>
        <v>4073633.8323339857</v>
      </c>
      <c r="E63" s="62" cm="1">
        <f t="array" ref="E63">(VLOOKUP($B63,$F$8:$H$33,3,0)*(-(VLOOKUP(E$50,$F$8:$H$33,3,0))))/SUMPRODUCT(($H$8:$H$33&gt;0)*($H$8:$H$33))</f>
        <v>262492208.52852482</v>
      </c>
      <c r="F63" s="62" cm="1">
        <f t="array" ref="F63">(VLOOKUP($B63,$F$8:$H$33,3,0)*(-(VLOOKUP(F$50,$F$8:$H$33,3,0))))/SUMPRODUCT(($H$8:$H$33&gt;0)*($H$8:$H$33))</f>
        <v>16756790.960556917</v>
      </c>
      <c r="G63" s="63">
        <f t="shared" si="1"/>
        <v>284443248.59177816</v>
      </c>
      <c r="H63" s="14"/>
      <c r="I63" s="14"/>
    </row>
    <row r="64" spans="2:10" x14ac:dyDescent="0.2">
      <c r="B64" s="61" t="s">
        <v>40</v>
      </c>
      <c r="C64" s="62" cm="1">
        <f t="array" ref="C64">(VLOOKUP($B64,$F$8:$H$33,3,0)*(-(VLOOKUP(C$50,$F$8:$H$33,3,0))))/SUMPRODUCT(($H$8:$H$33&gt;0)*($H$8:$H$33))</f>
        <v>18580.864427007898</v>
      </c>
      <c r="D64" s="62" cm="1">
        <f t="array" ref="D64">(VLOOKUP($B64,$F$8:$H$33,3,0)*(-(VLOOKUP(D$50,$F$8:$H$33,3,0))))/SUMPRODUCT(($H$8:$H$33&gt;0)*($H$8:$H$33))</f>
        <v>67544.714020709274</v>
      </c>
      <c r="E64" s="62" cm="1">
        <f t="array" ref="E64">(VLOOKUP($B64,$F$8:$H$33,3,0)*(-(VLOOKUP(E$50,$F$8:$H$33,3,0))))/SUMPRODUCT(($H$8:$H$33&gt;0)*($H$8:$H$33))</f>
        <v>4352369.8710949747</v>
      </c>
      <c r="F64" s="62" cm="1">
        <f t="array" ref="F64">(VLOOKUP($B64,$F$8:$H$33,3,0)*(-(VLOOKUP(F$50,$F$8:$H$33,3,0))))/SUMPRODUCT(($H$8:$H$33&gt;0)*($H$8:$H$33))</f>
        <v>277843.49303853378</v>
      </c>
      <c r="G64" s="63">
        <f t="shared" si="1"/>
        <v>4716338.9425812261</v>
      </c>
      <c r="H64" s="14"/>
      <c r="I64" s="14"/>
    </row>
    <row r="65" spans="2:14" x14ac:dyDescent="0.2">
      <c r="B65" s="61" t="s">
        <v>41</v>
      </c>
      <c r="C65" s="62" cm="1">
        <f t="array" ref="C65">(VLOOKUP($B65,$F$8:$H$33,3,0)*(-(VLOOKUP(C$50,$F$8:$H$33,3,0))))/SUMPRODUCT(($H$8:$H$33&gt;0)*($H$8:$H$33))</f>
        <v>64285.811905285082</v>
      </c>
      <c r="D65" s="62" cm="1">
        <f t="array" ref="D65">(VLOOKUP($B65,$F$8:$H$33,3,0)*(-(VLOOKUP(D$50,$F$8:$H$33,3,0))))/SUMPRODUCT(($H$8:$H$33&gt;0)*($H$8:$H$33))</f>
        <v>233690.24610179634</v>
      </c>
      <c r="E65" s="62" cm="1">
        <f t="array" ref="E65">(VLOOKUP($B65,$F$8:$H$33,3,0)*(-(VLOOKUP(E$50,$F$8:$H$33,3,0))))/SUMPRODUCT(($H$8:$H$33&gt;0)*($H$8:$H$33))</f>
        <v>15058267.712709276</v>
      </c>
      <c r="F65" s="62" cm="1">
        <f t="array" ref="F65">(VLOOKUP($B65,$F$8:$H$33,3,0)*(-(VLOOKUP(F$50,$F$8:$H$33,3,0))))/SUMPRODUCT(($H$8:$H$33&gt;0)*($H$8:$H$33))</f>
        <v>961278.98692487308</v>
      </c>
      <c r="G65" s="63">
        <f t="shared" si="1"/>
        <v>16317522.757641232</v>
      </c>
      <c r="H65" s="14"/>
      <c r="I65" s="14"/>
    </row>
    <row r="66" spans="2:14" x14ac:dyDescent="0.2">
      <c r="B66" s="61" t="s">
        <v>42</v>
      </c>
      <c r="C66" s="62" cm="1">
        <f t="array" ref="C66">(VLOOKUP($B66,$F$8:$H$33,3,0)*(-(VLOOKUP(C$50,$F$8:$H$33,3,0))))/SUMPRODUCT(($H$8:$H$33&gt;0)*($H$8:$H$33))</f>
        <v>50389.903736042201</v>
      </c>
      <c r="D66" s="62" cm="1">
        <f t="array" ref="D66">(VLOOKUP($B66,$F$8:$H$33,3,0)*(-(VLOOKUP(D$50,$F$8:$H$33,3,0))))/SUMPRODUCT(($H$8:$H$33&gt;0)*($H$8:$H$33))</f>
        <v>183176.1730328777</v>
      </c>
      <c r="E66" s="62" cm="1">
        <f t="array" ref="E66">(VLOOKUP($B66,$F$8:$H$33,3,0)*(-(VLOOKUP(E$50,$F$8:$H$33,3,0))))/SUMPRODUCT(($H$8:$H$33&gt;0)*($H$8:$H$33))</f>
        <v>11803299.017097605</v>
      </c>
      <c r="F66" s="62" cm="1">
        <f t="array" ref="F66">(VLOOKUP($B66,$F$8:$H$33,3,0)*(-(VLOOKUP(F$50,$F$8:$H$33,3,0))))/SUMPRODUCT(($H$8:$H$33&gt;0)*($H$8:$H$33))</f>
        <v>753490.60980969376</v>
      </c>
      <c r="G66" s="63">
        <f t="shared" si="1"/>
        <v>12790355.703676218</v>
      </c>
      <c r="H66" s="14"/>
      <c r="I66" s="14"/>
    </row>
    <row r="67" spans="2:14" x14ac:dyDescent="0.2">
      <c r="B67" s="61" t="s">
        <v>43</v>
      </c>
      <c r="C67" s="62" cm="1">
        <f t="array" ref="C67">(VLOOKUP($B67,$F$8:$H$33,3,0)*(-(VLOOKUP(C$50,$F$8:$H$33,3,0))))/SUMPRODUCT(($H$8:$H$33&gt;0)*($H$8:$H$33))</f>
        <v>34935.872339490015</v>
      </c>
      <c r="D67" s="62" cm="1">
        <f t="array" ref="D67">(VLOOKUP($B67,$F$8:$H$33,3,0)*(-(VLOOKUP(D$50,$F$8:$H$33,3,0))))/SUMPRODUCT(($H$8:$H$33&gt;0)*($H$8:$H$33))</f>
        <v>126998.04766913374</v>
      </c>
      <c r="E67" s="62" cm="1">
        <f t="array" ref="E67">(VLOOKUP($B67,$F$8:$H$33,3,0)*(-(VLOOKUP(E$50,$F$8:$H$33,3,0))))/SUMPRODUCT(($H$8:$H$33&gt;0)*($H$8:$H$33))</f>
        <v>8183356.5272561461</v>
      </c>
      <c r="F67" s="62" cm="1">
        <f t="array" ref="F67">(VLOOKUP($B67,$F$8:$H$33,3,0)*(-(VLOOKUP(F$50,$F$8:$H$33,3,0))))/SUMPRODUCT(($H$8:$H$33&gt;0)*($H$8:$H$33))</f>
        <v>522403.29513642978</v>
      </c>
      <c r="G67" s="63">
        <f t="shared" si="1"/>
        <v>8867693.7424011994</v>
      </c>
      <c r="H67" s="14"/>
      <c r="I67" s="14"/>
    </row>
    <row r="68" spans="2:14" x14ac:dyDescent="0.2">
      <c r="B68" s="61" t="s">
        <v>45</v>
      </c>
      <c r="C68" s="62" cm="1">
        <f t="array" ref="C68">(VLOOKUP($B68,$F$8:$H$33,3,0)*(-(VLOOKUP(C$50,$F$8:$H$33,3,0))))/SUMPRODUCT(($H$8:$H$33&gt;0)*($H$8:$H$33))</f>
        <v>10206.124686826504</v>
      </c>
      <c r="D68" s="62" cm="1">
        <f t="array" ref="D68">(VLOOKUP($B68,$F$8:$H$33,3,0)*(-(VLOOKUP(D$50,$F$8:$H$33,3,0))))/SUMPRODUCT(($H$8:$H$33&gt;0)*($H$8:$H$33))</f>
        <v>37101.060391430212</v>
      </c>
      <c r="E68" s="62" cm="1">
        <f t="array" ref="E68">(VLOOKUP($B68,$F$8:$H$33,3,0)*(-(VLOOKUP(E$50,$F$8:$H$33,3,0))))/SUMPRODUCT(($H$8:$H$33&gt;0)*($H$8:$H$33))</f>
        <v>2390676.1583715761</v>
      </c>
      <c r="F68" s="62" cm="1">
        <f t="array" ref="F68">(VLOOKUP($B68,$F$8:$H$33,3,0)*(-(VLOOKUP(F$50,$F$8:$H$33,3,0))))/SUMPRODUCT(($H$8:$H$33&gt;0)*($H$8:$H$33))</f>
        <v>152614.28468596417</v>
      </c>
      <c r="G68" s="63">
        <f t="shared" si="1"/>
        <v>2590597.6281357971</v>
      </c>
      <c r="H68" s="14"/>
      <c r="I68" s="14"/>
    </row>
    <row r="69" spans="2:14" x14ac:dyDescent="0.2">
      <c r="B69" s="61" t="s">
        <v>49</v>
      </c>
      <c r="C69" s="62" cm="1">
        <f t="array" ref="C69">(VLOOKUP($B69,$F$8:$H$33,3,0)*(-(VLOOKUP(C$50,$F$8:$H$33,3,0))))/SUMPRODUCT(($H$8:$H$33&gt;0)*($H$8:$H$33))</f>
        <v>0</v>
      </c>
      <c r="D69" s="62" cm="1">
        <f t="array" ref="D69">(VLOOKUP($B69,$F$8:$H$33,3,0)*(-(VLOOKUP(D$50,$F$8:$H$33,3,0))))/SUMPRODUCT(($H$8:$H$33&gt;0)*($H$8:$H$33))</f>
        <v>0</v>
      </c>
      <c r="E69" s="62" cm="1">
        <f t="array" ref="E69">(VLOOKUP($B69,$F$8:$H$33,3,0)*(-(VLOOKUP(E$50,$F$8:$H$33,3,0))))/SUMPRODUCT(($H$8:$H$33&gt;0)*($H$8:$H$33))</f>
        <v>0</v>
      </c>
      <c r="F69" s="62" cm="1">
        <f t="array" ref="F69">(VLOOKUP($B69,$F$8:$H$33,3,0)*(-(VLOOKUP(F$50,$F$8:$H$33,3,0))))/SUMPRODUCT(($H$8:$H$33&gt;0)*($H$8:$H$33))</f>
        <v>0</v>
      </c>
      <c r="G69" s="63">
        <f t="shared" si="1"/>
        <v>0</v>
      </c>
      <c r="H69" s="14"/>
      <c r="I69" s="14"/>
    </row>
    <row r="70" spans="2:14" x14ac:dyDescent="0.2">
      <c r="B70" s="61" t="s">
        <v>50</v>
      </c>
      <c r="C70" s="62" cm="1">
        <f t="array" ref="C70">(VLOOKUP($B70,$F$8:$H$33,3,0)*(-(VLOOKUP(C$50,$F$8:$H$33,3,0))))/SUMPRODUCT(($H$8:$H$33&gt;0)*($H$8:$H$33))</f>
        <v>40.616151742943138</v>
      </c>
      <c r="D70" s="62" cm="1">
        <f t="array" ref="D70">(VLOOKUP($B70,$F$8:$H$33,3,0)*(-(VLOOKUP(D$50,$F$8:$H$33,3,0))))/SUMPRODUCT(($H$8:$H$33&gt;0)*($H$8:$H$33))</f>
        <v>147.64686351788862</v>
      </c>
      <c r="E70" s="62" cm="1">
        <f t="array" ref="E70">(VLOOKUP($B70,$F$8:$H$33,3,0)*(-(VLOOKUP(E$50,$F$8:$H$33,3,0))))/SUMPRODUCT(($H$8:$H$33&gt;0)*($H$8:$H$33))</f>
        <v>9513.9015636353724</v>
      </c>
      <c r="F70" s="62" cm="1">
        <f t="array" ref="F70">(VLOOKUP($B70,$F$8:$H$33,3,0)*(-(VLOOKUP(F$50,$F$8:$H$33,3,0))))/SUMPRODUCT(($H$8:$H$33&gt;0)*($H$8:$H$33))</f>
        <v>607.34168307258233</v>
      </c>
      <c r="G70" s="63">
        <f t="shared" si="1"/>
        <v>10309.506261968787</v>
      </c>
      <c r="H70" s="14"/>
      <c r="I70" s="14"/>
    </row>
    <row r="71" spans="2:14" x14ac:dyDescent="0.2">
      <c r="B71" s="61" t="s">
        <v>51</v>
      </c>
      <c r="C71" s="62" cm="1">
        <f t="array" ref="C71">(VLOOKUP($B71,$F$8:$H$33,3,0)*(-(VLOOKUP(C$50,$F$8:$H$33,3,0))))/SUMPRODUCT(($H$8:$H$33&gt;0)*($H$8:$H$33))</f>
        <v>508.35934517747506</v>
      </c>
      <c r="D71" s="62" cm="1">
        <f t="array" ref="D71">(VLOOKUP($B71,$F$8:$H$33,3,0)*(-(VLOOKUP(D$50,$F$8:$H$33,3,0))))/SUMPRODUCT(($H$8:$H$33&gt;0)*($H$8:$H$33))</f>
        <v>1847.9757346411529</v>
      </c>
      <c r="E71" s="62" cm="1">
        <f t="array" ref="E71">(VLOOKUP($B71,$F$8:$H$33,3,0)*(-(VLOOKUP(E$50,$F$8:$H$33,3,0))))/SUMPRODUCT(($H$8:$H$33&gt;0)*($H$8:$H$33))</f>
        <v>119077.76983852118</v>
      </c>
      <c r="F71" s="62" cm="1">
        <f t="array" ref="F71">(VLOOKUP($B71,$F$8:$H$33,3,0)*(-(VLOOKUP(F$50,$F$8:$H$33,3,0))))/SUMPRODUCT(($H$8:$H$33&gt;0)*($H$8:$H$33))</f>
        <v>7601.601999613541</v>
      </c>
      <c r="G71" s="63">
        <f t="shared" si="1"/>
        <v>129035.70691795336</v>
      </c>
      <c r="H71" s="14"/>
      <c r="I71" s="14"/>
    </row>
    <row r="72" spans="2:14" x14ac:dyDescent="0.2">
      <c r="B72" s="4" t="s">
        <v>52</v>
      </c>
      <c r="C72" s="64">
        <f>SUM(C51:C71)</f>
        <v>7952159.7601680523</v>
      </c>
      <c r="D72" s="64">
        <f t="shared" ref="D72:F72" si="2">SUM(D51:D71)</f>
        <v>28907500.991547633</v>
      </c>
      <c r="E72" s="64">
        <f t="shared" si="2"/>
        <v>1862708846.8489883</v>
      </c>
      <c r="F72" s="64">
        <f t="shared" si="2"/>
        <v>118910282.86897375</v>
      </c>
      <c r="G72" s="64">
        <f>SUM(G51:G71)</f>
        <v>2018478790.4696774</v>
      </c>
      <c r="H72" s="14"/>
      <c r="I72" s="65"/>
    </row>
    <row r="73" spans="2:14" x14ac:dyDescent="0.2">
      <c r="B73"/>
      <c r="C73" s="14"/>
      <c r="D73" s="14"/>
      <c r="E73" s="14"/>
      <c r="H73" s="65"/>
      <c r="N73" s="14"/>
    </row>
    <row r="74" spans="2:14" x14ac:dyDescent="0.2">
      <c r="B74" s="16"/>
      <c r="C74" s="65"/>
      <c r="D74" s="65"/>
      <c r="E74" s="65"/>
      <c r="G74" s="66">
        <f t="array" ref="G74">-SUMPRODUCT(($H$8:$H$33&lt;0)*($H$8:$H$33))</f>
        <v>2018478790.4696774</v>
      </c>
    </row>
    <row r="75" spans="2:14" x14ac:dyDescent="0.2">
      <c r="B75"/>
      <c r="C75"/>
      <c r="D75"/>
      <c r="E75"/>
      <c r="G75" s="67">
        <f>G72-G74</f>
        <v>0</v>
      </c>
    </row>
    <row r="76" spans="2:14" x14ac:dyDescent="0.2">
      <c r="B76"/>
      <c r="C76"/>
      <c r="D76"/>
      <c r="E76"/>
      <c r="G76" s="67">
        <f>G72-K6</f>
        <v>0</v>
      </c>
    </row>
  </sheetData>
  <mergeCells count="9">
    <mergeCell ref="K6:K7"/>
    <mergeCell ref="B49:B50"/>
    <mergeCell ref="C49:F49"/>
    <mergeCell ref="B6:B7"/>
    <mergeCell ref="C6:C7"/>
    <mergeCell ref="F6:F7"/>
    <mergeCell ref="G6:G7"/>
    <mergeCell ref="H6:H7"/>
    <mergeCell ref="J6:J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7291-5804-4D51-9DD1-E22E88120450}">
  <sheetPr codeName="Hoja7">
    <tabColor theme="9" tint="0.59999389629810485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17" customWidth="1"/>
    <col min="2" max="2" width="24.85546875" style="17" customWidth="1"/>
    <col min="3" max="3" width="11.5703125" style="17" bestFit="1" customWidth="1"/>
    <col min="4" max="4" width="13.140625" style="17" bestFit="1" customWidth="1"/>
    <col min="5" max="5" width="12.5703125" style="17" customWidth="1"/>
    <col min="6" max="6" width="9.5703125" style="17" bestFit="1" customWidth="1"/>
    <col min="7" max="7" width="14" style="17" customWidth="1"/>
    <col min="8" max="8" width="11.7109375" style="17" customWidth="1"/>
    <col min="9" max="9" width="13" style="17" customWidth="1"/>
    <col min="10" max="10" width="12.5703125" style="17" customWidth="1"/>
    <col min="11" max="11" width="12.140625" style="17" customWidth="1"/>
    <col min="12" max="12" width="13.140625" style="17" bestFit="1" customWidth="1"/>
    <col min="13" max="13" width="13.5703125" style="17" customWidth="1"/>
    <col min="14" max="14" width="13.140625" style="17" bestFit="1" customWidth="1"/>
    <col min="15" max="15" width="19.140625" style="17" customWidth="1"/>
    <col min="16" max="16" width="11.5703125" style="17" bestFit="1" customWidth="1"/>
    <col min="17" max="17" width="12.42578125" style="17" bestFit="1" customWidth="1"/>
    <col min="18" max="18" width="23.85546875" style="17" customWidth="1"/>
    <col min="19" max="16384" width="11.42578125" style="17"/>
  </cols>
  <sheetData>
    <row r="2" spans="2:17" x14ac:dyDescent="0.2">
      <c r="B2" s="16" t="s">
        <v>87</v>
      </c>
      <c r="C2" s="16"/>
      <c r="D2" s="16"/>
    </row>
    <row r="3" spans="2:17" x14ac:dyDescent="0.2">
      <c r="B3" s="18">
        <f>FechaFacturacion</f>
        <v>45566</v>
      </c>
      <c r="C3" s="19"/>
      <c r="D3" s="19"/>
      <c r="I3" s="20" t="s">
        <v>57</v>
      </c>
      <c r="J3" s="21"/>
      <c r="K3" s="21"/>
    </row>
    <row r="4" spans="2:17" x14ac:dyDescent="0.2">
      <c r="B4" s="22"/>
      <c r="D4" s="19"/>
      <c r="I4" s="23">
        <f>'Reliquidación TD'!$I$4</f>
        <v>9.7570308016070584E-3</v>
      </c>
      <c r="J4" s="24"/>
      <c r="K4" s="24"/>
    </row>
    <row r="6" spans="2:17" ht="12.75" customHeight="1" x14ac:dyDescent="0.2">
      <c r="B6" s="102" t="s">
        <v>6</v>
      </c>
      <c r="C6" s="102" t="s">
        <v>7</v>
      </c>
      <c r="D6" s="102" t="s">
        <v>8</v>
      </c>
      <c r="E6" s="102" t="s">
        <v>9</v>
      </c>
      <c r="F6" s="102" t="s">
        <v>10</v>
      </c>
      <c r="G6" s="102" t="s">
        <v>54</v>
      </c>
      <c r="H6" s="102" t="str">
        <f>"Saldo "&amp;TEXT(B3-1,"mmmmmmmmmm")</f>
        <v>Saldo septiembre</v>
      </c>
      <c r="I6" s="102" t="s">
        <v>58</v>
      </c>
      <c r="J6" s="102" t="s">
        <v>59</v>
      </c>
      <c r="K6" s="102" t="s">
        <v>60</v>
      </c>
      <c r="L6" s="105" t="s">
        <v>88</v>
      </c>
      <c r="M6" s="102" t="s">
        <v>89</v>
      </c>
      <c r="N6" s="100" t="s">
        <v>90</v>
      </c>
      <c r="O6" s="102" t="s">
        <v>64</v>
      </c>
      <c r="P6" s="102" t="s">
        <v>65</v>
      </c>
    </row>
    <row r="7" spans="2:17" x14ac:dyDescent="0.2">
      <c r="B7" s="106"/>
      <c r="C7" s="103"/>
      <c r="D7" s="103"/>
      <c r="E7" s="103"/>
      <c r="F7" s="103"/>
      <c r="G7" s="103"/>
      <c r="H7" s="104"/>
      <c r="I7" s="103"/>
      <c r="J7" s="103"/>
      <c r="K7" s="103"/>
      <c r="L7" s="105"/>
      <c r="M7" s="103"/>
      <c r="N7" s="101"/>
      <c r="O7" s="103"/>
      <c r="P7" s="103"/>
    </row>
    <row r="8" spans="2:17" ht="13.5" customHeight="1" x14ac:dyDescent="0.2">
      <c r="B8" s="106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 t="s">
        <v>13</v>
      </c>
      <c r="K8" s="26" t="s">
        <v>13</v>
      </c>
      <c r="L8" s="26" t="s">
        <v>13</v>
      </c>
      <c r="M8" s="26" t="s">
        <v>13</v>
      </c>
      <c r="N8" s="28" t="s">
        <v>13</v>
      </c>
      <c r="O8" s="27" t="s">
        <v>13</v>
      </c>
      <c r="P8" s="27" t="s">
        <v>13</v>
      </c>
    </row>
    <row r="9" spans="2:17" x14ac:dyDescent="0.2">
      <c r="B9" s="30" t="s">
        <v>14</v>
      </c>
      <c r="C9" s="31">
        <f>SUMIF('Entrada CDRGL'!$E$8:$E$43,'Reliquidación CD RGL'!$B9,'Entrada CDRGL'!F$8:F$43)</f>
        <v>1369056</v>
      </c>
      <c r="D9" s="31">
        <f>SUMIF('Entrada CDRGL'!$E$8:$E$43,'Reliquidación CD RGL'!$B9,'Entrada CDRGL'!G$8:G$43)</f>
        <v>3036897</v>
      </c>
      <c r="E9" s="31">
        <f>SUMIF('Entrada CDRGL'!$E$8:$E$43,'Reliquidación CD RGL'!$B9,'Entrada CDRGL'!H$8:H$43)</f>
        <v>145180</v>
      </c>
      <c r="F9" s="31">
        <f>SUMIF('Entrada CDRGL'!$E$8:$E$43,'Reliquidación CD RGL'!$B9,'Entrada CDRGL'!I$8:I$43)</f>
        <v>29987</v>
      </c>
      <c r="G9" s="31">
        <f>SUMIF('Entrada CDRGL'!$E$8:$E$43,'Reliquidación CD RGL'!$B9,'Entrada CDRGL'!J$8:J$43)</f>
        <v>-637346.08350383746</v>
      </c>
      <c r="H9" s="31">
        <v>0</v>
      </c>
      <c r="I9" s="31">
        <f t="shared" ref="I9:I43" si="0">H9*($I$4+1)</f>
        <v>0</v>
      </c>
      <c r="J9" s="31">
        <v>0</v>
      </c>
      <c r="K9" s="31">
        <f>+J9*($I$4+1)</f>
        <v>0</v>
      </c>
      <c r="L9" s="31">
        <f>G9+I9+K9</f>
        <v>-637346.08350383746</v>
      </c>
      <c r="M9" s="31">
        <f>IF(L9&lt;0,-L9,0)</f>
        <v>637346.08350383746</v>
      </c>
      <c r="N9" s="31">
        <f>IF(L9&gt;0,L9,0)</f>
        <v>0</v>
      </c>
      <c r="O9" s="31">
        <f t="shared" ref="O9:O42" si="1">IF(OR($M$44=0,$N$44=0),0,((M9/$M$44-N9/$N$44)*$N$49))</f>
        <v>637346.08350383746</v>
      </c>
      <c r="P9" s="31">
        <f>L9+O9</f>
        <v>0</v>
      </c>
      <c r="Q9" s="68"/>
    </row>
    <row r="10" spans="2:17" x14ac:dyDescent="0.2">
      <c r="B10" s="32" t="s">
        <v>15</v>
      </c>
      <c r="C10" s="33">
        <f>SUMIF('Entrada CDRGL'!$E$8:$E$43,'Reliquidación CD RGL'!$B10,'Entrada CDRGL'!F$8:F$43)</f>
        <v>736444</v>
      </c>
      <c r="D10" s="33">
        <f>SUMIF('Entrada CDRGL'!$E$8:$E$43,'Reliquidación CD RGL'!$B10,'Entrada CDRGL'!G$8:G$43)</f>
        <v>2954329</v>
      </c>
      <c r="E10" s="33">
        <f>SUMIF('Entrada CDRGL'!$E$8:$E$43,'Reliquidación CD RGL'!$B10,'Entrada CDRGL'!H$8:H$43)</f>
        <v>1383</v>
      </c>
      <c r="F10" s="33">
        <f>SUMIF('Entrada CDRGL'!$E$8:$E$43,'Reliquidación CD RGL'!$B10,'Entrada CDRGL'!I$8:I$43)</f>
        <v>30387</v>
      </c>
      <c r="G10" s="33">
        <f>SUMIF('Entrada CDRGL'!$E$8:$E$43,'Reliquidación CD RGL'!$B10,'Entrada CDRGL'!J$8:J$43)</f>
        <v>-23023966.941246811</v>
      </c>
      <c r="H10" s="33">
        <v>0</v>
      </c>
      <c r="I10" s="33">
        <f t="shared" si="0"/>
        <v>0</v>
      </c>
      <c r="J10" s="33">
        <v>0</v>
      </c>
      <c r="K10" s="33">
        <f t="shared" ref="K10:K43" si="2">+J10*($I$4+1)</f>
        <v>0</v>
      </c>
      <c r="L10" s="33">
        <f t="shared" ref="L10:L43" si="3">G10+I10+K10</f>
        <v>-23023966.941246811</v>
      </c>
      <c r="M10" s="33">
        <f t="shared" ref="M10:M43" si="4">IF(L10&lt;0,-L10,0)</f>
        <v>23023966.941246811</v>
      </c>
      <c r="N10" s="33">
        <f>IF(L10&gt;0,L10,0)</f>
        <v>0</v>
      </c>
      <c r="O10" s="33">
        <f t="shared" si="1"/>
        <v>23023966.941246811</v>
      </c>
      <c r="P10" s="33">
        <f t="shared" ref="P10:P43" si="5">L10+O10</f>
        <v>0</v>
      </c>
      <c r="Q10" s="68"/>
    </row>
    <row r="11" spans="2:17" x14ac:dyDescent="0.2">
      <c r="B11" s="32" t="s">
        <v>16</v>
      </c>
      <c r="C11" s="33">
        <f>SUMIF('Entrada CDRGL'!$E$8:$E$43,'Reliquidación CD RGL'!$B11,'Entrada CDRGL'!F$8:F$43)</f>
        <v>1805683.4</v>
      </c>
      <c r="D11" s="33">
        <f>SUMIF('Entrada CDRGL'!$E$8:$E$43,'Reliquidación CD RGL'!$B11,'Entrada CDRGL'!G$8:G$43)</f>
        <v>5971293.3500100002</v>
      </c>
      <c r="E11" s="33">
        <f>SUMIF('Entrada CDRGL'!$E$8:$E$43,'Reliquidación CD RGL'!$B11,'Entrada CDRGL'!H$8:H$43)</f>
        <v>0</v>
      </c>
      <c r="F11" s="33">
        <f>SUMIF('Entrada CDRGL'!$E$8:$E$43,'Reliquidación CD RGL'!$B11,'Entrada CDRGL'!I$8:I$43)</f>
        <v>13086.6</v>
      </c>
      <c r="G11" s="33">
        <f>SUMIF('Entrada CDRGL'!$E$8:$E$43,'Reliquidación CD RGL'!$B11,'Entrada CDRGL'!J$8:J$43)</f>
        <v>12469964.711840531</v>
      </c>
      <c r="H11" s="33">
        <v>1895961.4818225838</v>
      </c>
      <c r="I11" s="33">
        <f t="shared" si="0"/>
        <v>1914460.4363993874</v>
      </c>
      <c r="J11" s="33">
        <v>0</v>
      </c>
      <c r="K11" s="33">
        <f t="shared" si="2"/>
        <v>0</v>
      </c>
      <c r="L11" s="33">
        <f t="shared" si="3"/>
        <v>14384425.148239918</v>
      </c>
      <c r="M11" s="33">
        <f t="shared" si="4"/>
        <v>0</v>
      </c>
      <c r="N11" s="33">
        <f t="shared" ref="N11:N43" si="6">IF(L11&gt;0,L11,0)</f>
        <v>14384425.148239918</v>
      </c>
      <c r="O11" s="33">
        <f t="shared" si="1"/>
        <v>-10498312.601194197</v>
      </c>
      <c r="P11" s="33">
        <f t="shared" si="5"/>
        <v>3886112.5470457207</v>
      </c>
      <c r="Q11" s="68"/>
    </row>
    <row r="12" spans="2:17" x14ac:dyDescent="0.2">
      <c r="B12" s="32" t="s">
        <v>17</v>
      </c>
      <c r="C12" s="33">
        <f>SUMIF('Entrada CDRGL'!$E$8:$E$43,'Reliquidación CD RGL'!$B12,'Entrada CDRGL'!F$8:F$43)</f>
        <v>407838</v>
      </c>
      <c r="D12" s="33">
        <f>SUMIF('Entrada CDRGL'!$E$8:$E$43,'Reliquidación CD RGL'!$B12,'Entrada CDRGL'!G$8:G$43)</f>
        <v>1342341</v>
      </c>
      <c r="E12" s="33">
        <f>SUMIF('Entrada CDRGL'!$E$8:$E$43,'Reliquidación CD RGL'!$B12,'Entrada CDRGL'!H$8:H$43)</f>
        <v>0</v>
      </c>
      <c r="F12" s="33">
        <f>SUMIF('Entrada CDRGL'!$E$8:$E$43,'Reliquidación CD RGL'!$B12,'Entrada CDRGL'!I$8:I$43)</f>
        <v>0</v>
      </c>
      <c r="G12" s="33">
        <f>SUMIF('Entrada CDRGL'!$E$8:$E$43,'Reliquidación CD RGL'!$B12,'Entrada CDRGL'!J$8:J$43)</f>
        <v>3321640.9401372098</v>
      </c>
      <c r="H12" s="33">
        <v>0</v>
      </c>
      <c r="I12" s="33">
        <f t="shared" si="0"/>
        <v>0</v>
      </c>
      <c r="J12" s="33">
        <v>0</v>
      </c>
      <c r="K12" s="33">
        <f t="shared" si="2"/>
        <v>0</v>
      </c>
      <c r="L12" s="33">
        <f t="shared" si="3"/>
        <v>3321640.9401372098</v>
      </c>
      <c r="M12" s="33">
        <f t="shared" si="4"/>
        <v>0</v>
      </c>
      <c r="N12" s="33">
        <f t="shared" si="6"/>
        <v>3321640.9401372098</v>
      </c>
      <c r="O12" s="33">
        <f t="shared" si="1"/>
        <v>-2424262.67154318</v>
      </c>
      <c r="P12" s="33">
        <f t="shared" si="5"/>
        <v>897378.26859402983</v>
      </c>
      <c r="Q12" s="68"/>
    </row>
    <row r="13" spans="2:17" x14ac:dyDescent="0.2">
      <c r="B13" s="32" t="s">
        <v>18</v>
      </c>
      <c r="C13" s="33">
        <f>SUMIF('Entrada CDRGL'!$E$8:$E$43,'Reliquidación CD RGL'!$B13,'Entrada CDRGL'!F$8:F$43)</f>
        <v>129685529.675</v>
      </c>
      <c r="D13" s="33">
        <f>SUMIF('Entrada CDRGL'!$E$8:$E$43,'Reliquidación CD RGL'!$B13,'Entrada CDRGL'!G$8:G$43)</f>
        <v>463007299.80900002</v>
      </c>
      <c r="E13" s="33">
        <f>SUMIF('Entrada CDRGL'!$E$8:$E$43,'Reliquidación CD RGL'!$B13,'Entrada CDRGL'!H$8:H$43)</f>
        <v>5592286.5279999999</v>
      </c>
      <c r="F13" s="33">
        <f>SUMIF('Entrada CDRGL'!$E$8:$E$43,'Reliquidación CD RGL'!$B13,'Entrada CDRGL'!I$8:I$43)</f>
        <v>1342583.72</v>
      </c>
      <c r="G13" s="33">
        <f>SUMIF('Entrada CDRGL'!$E$8:$E$43,'Reliquidación CD RGL'!$B13,'Entrada CDRGL'!J$8:J$43)</f>
        <v>194423815.80928949</v>
      </c>
      <c r="H13" s="33">
        <v>26315912.079718649</v>
      </c>
      <c r="I13" s="33">
        <f t="shared" si="0"/>
        <v>26572677.244452849</v>
      </c>
      <c r="J13" s="33">
        <v>0</v>
      </c>
      <c r="K13" s="33">
        <f t="shared" si="2"/>
        <v>0</v>
      </c>
      <c r="L13" s="33">
        <f t="shared" si="3"/>
        <v>220996493.05374235</v>
      </c>
      <c r="M13" s="33">
        <f t="shared" si="4"/>
        <v>0</v>
      </c>
      <c r="N13" s="33">
        <f t="shared" si="6"/>
        <v>220996493.05374235</v>
      </c>
      <c r="O13" s="33">
        <f t="shared" si="1"/>
        <v>-161291830.84731865</v>
      </c>
      <c r="P13" s="33">
        <f t="shared" si="5"/>
        <v>59704662.2064237</v>
      </c>
      <c r="Q13" s="68"/>
    </row>
    <row r="14" spans="2:17" x14ac:dyDescent="0.2">
      <c r="B14" s="32" t="s">
        <v>20</v>
      </c>
      <c r="C14" s="33">
        <f>SUMIF('Entrada CDRGL'!$E$8:$E$43,'Reliquidación CD RGL'!$B14,'Entrada CDRGL'!F$8:F$43)</f>
        <v>233278</v>
      </c>
      <c r="D14" s="33">
        <f>SUMIF('Entrada CDRGL'!$E$8:$E$43,'Reliquidación CD RGL'!$B14,'Entrada CDRGL'!G$8:G$43)</f>
        <v>913327.00399999996</v>
      </c>
      <c r="E14" s="33">
        <f>SUMIF('Entrada CDRGL'!$E$8:$E$43,'Reliquidación CD RGL'!$B14,'Entrada CDRGL'!H$8:H$43)</f>
        <v>0</v>
      </c>
      <c r="F14" s="33">
        <f>SUMIF('Entrada CDRGL'!$E$8:$E$43,'Reliquidación CD RGL'!$B14,'Entrada CDRGL'!I$8:I$43)</f>
        <v>0</v>
      </c>
      <c r="G14" s="33">
        <f>SUMIF('Entrada CDRGL'!$E$8:$E$43,'Reliquidación CD RGL'!$B14,'Entrada CDRGL'!J$8:J$43)</f>
        <v>-18924039.238466561</v>
      </c>
      <c r="H14" s="33">
        <v>0</v>
      </c>
      <c r="I14" s="33">
        <f t="shared" si="0"/>
        <v>0</v>
      </c>
      <c r="J14" s="33">
        <v>0</v>
      </c>
      <c r="K14" s="33">
        <f t="shared" si="2"/>
        <v>0</v>
      </c>
      <c r="L14" s="33">
        <f t="shared" si="3"/>
        <v>-18924039.238466561</v>
      </c>
      <c r="M14" s="33">
        <f t="shared" si="4"/>
        <v>18924039.238466561</v>
      </c>
      <c r="N14" s="33">
        <f t="shared" si="6"/>
        <v>0</v>
      </c>
      <c r="O14" s="33">
        <f t="shared" si="1"/>
        <v>18924039.238466561</v>
      </c>
      <c r="P14" s="33">
        <f t="shared" si="5"/>
        <v>0</v>
      </c>
      <c r="Q14" s="68"/>
    </row>
    <row r="15" spans="2:17" x14ac:dyDescent="0.2">
      <c r="B15" s="32" t="s">
        <v>21</v>
      </c>
      <c r="C15" s="33">
        <f>SUMIF('Entrada CDRGL'!$E$8:$E$43,'Reliquidación CD RGL'!$B15,'Entrada CDRGL'!F$8:F$43)</f>
        <v>10262916.464</v>
      </c>
      <c r="D15" s="33">
        <f>SUMIF('Entrada CDRGL'!$E$8:$E$43,'Reliquidación CD RGL'!$B15,'Entrada CDRGL'!G$8:G$43)</f>
        <v>20625852.081</v>
      </c>
      <c r="E15" s="33">
        <f>SUMIF('Entrada CDRGL'!$E$8:$E$43,'Reliquidación CD RGL'!$B15,'Entrada CDRGL'!H$8:H$43)</f>
        <v>749459.40300000005</v>
      </c>
      <c r="F15" s="33">
        <f>SUMIF('Entrada CDRGL'!$E$8:$E$43,'Reliquidación CD RGL'!$B15,'Entrada CDRGL'!I$8:I$43)</f>
        <v>73566.923999999999</v>
      </c>
      <c r="G15" s="33">
        <f>SUMIF('Entrada CDRGL'!$E$8:$E$43,'Reliquidación CD RGL'!$B15,'Entrada CDRGL'!J$8:J$43)</f>
        <v>-178184787.1283198</v>
      </c>
      <c r="H15" s="33">
        <v>0</v>
      </c>
      <c r="I15" s="33">
        <f t="shared" si="0"/>
        <v>0</v>
      </c>
      <c r="J15" s="33">
        <v>0</v>
      </c>
      <c r="K15" s="33">
        <f t="shared" si="2"/>
        <v>0</v>
      </c>
      <c r="L15" s="33">
        <f t="shared" si="3"/>
        <v>-178184787.1283198</v>
      </c>
      <c r="M15" s="33">
        <f t="shared" si="4"/>
        <v>178184787.1283198</v>
      </c>
      <c r="N15" s="33">
        <f t="shared" si="6"/>
        <v>0</v>
      </c>
      <c r="O15" s="33">
        <f t="shared" si="1"/>
        <v>178184787.1283198</v>
      </c>
      <c r="P15" s="33">
        <f t="shared" si="5"/>
        <v>0</v>
      </c>
      <c r="Q15" s="68"/>
    </row>
    <row r="16" spans="2:17" x14ac:dyDescent="0.2">
      <c r="B16" s="32" t="s">
        <v>22</v>
      </c>
      <c r="C16" s="33">
        <f>SUMIF('Entrada CDRGL'!$E$8:$E$43,'Reliquidación CD RGL'!$B16,'Entrada CDRGL'!F$8:F$43)</f>
        <v>0</v>
      </c>
      <c r="D16" s="33">
        <f>SUMIF('Entrada CDRGL'!$E$8:$E$43,'Reliquidación CD RGL'!$B16,'Entrada CDRGL'!G$8:G$43)</f>
        <v>0</v>
      </c>
      <c r="E16" s="33">
        <f>SUMIF('Entrada CDRGL'!$E$8:$E$43,'Reliquidación CD RGL'!$B16,'Entrada CDRGL'!H$8:H$43)</f>
        <v>0</v>
      </c>
      <c r="F16" s="33">
        <f>SUMIF('Entrada CDRGL'!$E$8:$E$43,'Reliquidación CD RGL'!$B16,'Entrada CDRGL'!I$8:I$43)</f>
        <v>0</v>
      </c>
      <c r="G16" s="33">
        <f>SUMIF('Entrada CDRGL'!$E$8:$E$43,'Reliquidación CD RGL'!$B16,'Entrada CDRGL'!J$8:J$43)</f>
        <v>0</v>
      </c>
      <c r="H16" s="33">
        <v>0</v>
      </c>
      <c r="I16" s="33">
        <f t="shared" si="0"/>
        <v>0</v>
      </c>
      <c r="J16" s="33">
        <v>0</v>
      </c>
      <c r="K16" s="33">
        <f t="shared" si="2"/>
        <v>0</v>
      </c>
      <c r="L16" s="33">
        <f t="shared" si="3"/>
        <v>0</v>
      </c>
      <c r="M16" s="33">
        <f t="shared" si="4"/>
        <v>0</v>
      </c>
      <c r="N16" s="33">
        <f t="shared" si="6"/>
        <v>0</v>
      </c>
      <c r="O16" s="33">
        <f t="shared" si="1"/>
        <v>0</v>
      </c>
      <c r="P16" s="33">
        <f t="shared" si="5"/>
        <v>0</v>
      </c>
      <c r="Q16" s="68"/>
    </row>
    <row r="17" spans="2:17" x14ac:dyDescent="0.2">
      <c r="B17" s="32" t="s">
        <v>23</v>
      </c>
      <c r="C17" s="33">
        <f>SUMIF('Entrada CDRGL'!$E$8:$E$43,'Reliquidación CD RGL'!$B17,'Entrada CDRGL'!F$8:F$43)</f>
        <v>0</v>
      </c>
      <c r="D17" s="33">
        <f>SUMIF('Entrada CDRGL'!$E$8:$E$43,'Reliquidación CD RGL'!$B17,'Entrada CDRGL'!G$8:G$43)</f>
        <v>0</v>
      </c>
      <c r="E17" s="33">
        <f>SUMIF('Entrada CDRGL'!$E$8:$E$43,'Reliquidación CD RGL'!$B17,'Entrada CDRGL'!H$8:H$43)</f>
        <v>0</v>
      </c>
      <c r="F17" s="33">
        <f>SUMIF('Entrada CDRGL'!$E$8:$E$43,'Reliquidación CD RGL'!$B17,'Entrada CDRGL'!I$8:I$43)</f>
        <v>0</v>
      </c>
      <c r="G17" s="33">
        <f>SUMIF('Entrada CDRGL'!$E$8:$E$43,'Reliquidación CD RGL'!$B17,'Entrada CDRGL'!J$8:J$43)</f>
        <v>0</v>
      </c>
      <c r="H17" s="33">
        <v>0</v>
      </c>
      <c r="I17" s="33">
        <f t="shared" si="0"/>
        <v>0</v>
      </c>
      <c r="J17" s="33">
        <v>0</v>
      </c>
      <c r="K17" s="33">
        <f t="shared" si="2"/>
        <v>0</v>
      </c>
      <c r="L17" s="33">
        <f t="shared" si="3"/>
        <v>0</v>
      </c>
      <c r="M17" s="33">
        <f t="shared" si="4"/>
        <v>0</v>
      </c>
      <c r="N17" s="33">
        <f t="shared" si="6"/>
        <v>0</v>
      </c>
      <c r="O17" s="33">
        <f t="shared" si="1"/>
        <v>0</v>
      </c>
      <c r="P17" s="33">
        <f t="shared" si="5"/>
        <v>0</v>
      </c>
      <c r="Q17" s="68"/>
    </row>
    <row r="18" spans="2:17" x14ac:dyDescent="0.2">
      <c r="B18" s="32" t="s">
        <v>24</v>
      </c>
      <c r="C18" s="33">
        <f>SUMIF('Entrada CDRGL'!$E$8:$E$43,'Reliquidación CD RGL'!$B18,'Entrada CDRGL'!F$8:F$43)+SUMIF('Entrada CDRGL'!$E$8:$E$43,"LUZ ANDES",'Entrada CDRGL'!F$8:F$43)</f>
        <v>99737508.739000008</v>
      </c>
      <c r="D18" s="33">
        <f>SUMIF('Entrada CDRGL'!$E$8:$E$43,'Reliquidación CD RGL'!$B18,'Entrada CDRGL'!G$8:G$43)+SUMIF('Entrada CDRGL'!$E$8:$E$43,"LUZ ANDES",'Entrada CDRGL'!G$8:G$43)</f>
        <v>579636193.58700001</v>
      </c>
      <c r="E18" s="33">
        <f>SUMIF('Entrada CDRGL'!$E$8:$E$43,'Reliquidación CD RGL'!$B18,'Entrada CDRGL'!H$8:H$43)+SUMIF('Entrada CDRGL'!$E$8:$E$43,"LUZ ANDES",'Entrada CDRGL'!H$8:H$43)</f>
        <v>535261</v>
      </c>
      <c r="F18" s="33">
        <f>SUMIF('Entrada CDRGL'!$E$8:$E$43,'Reliquidación CD RGL'!$B18,'Entrada CDRGL'!I$8:I$43)+SUMIF('Entrada CDRGL'!$E$8:$E$43,"LUZ ANDES",'Entrada CDRGL'!I$8:I$43)</f>
        <v>1279747.5719999999</v>
      </c>
      <c r="G18" s="33">
        <f>SUMIF('Entrada CDRGL'!$E$8:$E$43,'Reliquidación CD RGL'!$B18,'Entrada CDRGL'!J$8:J$43)+SUMIF('Entrada CDRGL'!$E$8:$E$43,"LUZ ANDES",'Entrada CDRGL'!J$8:J$43)</f>
        <v>950313527.06109536</v>
      </c>
      <c r="H18" s="33">
        <v>158046603.98944163</v>
      </c>
      <c r="I18" s="33">
        <f t="shared" si="0"/>
        <v>159588669.57265601</v>
      </c>
      <c r="J18" s="33">
        <v>0</v>
      </c>
      <c r="K18" s="33">
        <f t="shared" si="2"/>
        <v>0</v>
      </c>
      <c r="L18" s="33">
        <f t="shared" si="3"/>
        <v>1109902196.6337514</v>
      </c>
      <c r="M18" s="33">
        <f t="shared" si="4"/>
        <v>0</v>
      </c>
      <c r="N18" s="33">
        <f t="shared" si="6"/>
        <v>1109902196.6337514</v>
      </c>
      <c r="O18" s="33">
        <f t="shared" si="1"/>
        <v>-810049765.41860533</v>
      </c>
      <c r="P18" s="33">
        <f t="shared" si="5"/>
        <v>299852431.21514606</v>
      </c>
      <c r="Q18" s="68"/>
    </row>
    <row r="19" spans="2:17" x14ac:dyDescent="0.2">
      <c r="B19" s="32" t="s">
        <v>26</v>
      </c>
      <c r="C19" s="33">
        <f>SUMIF('Entrada CDRGL'!$E$8:$E$43,'Reliquidación CD RGL'!$B19,'Entrada CDRGL'!F$8:F$43)</f>
        <v>32570199.870000001</v>
      </c>
      <c r="D19" s="33">
        <f>SUMIF('Entrada CDRGL'!$E$8:$E$43,'Reliquidación CD RGL'!$B19,'Entrada CDRGL'!G$8:G$43)</f>
        <v>70264417.353</v>
      </c>
      <c r="E19" s="33">
        <f>SUMIF('Entrada CDRGL'!$E$8:$E$43,'Reliquidación CD RGL'!$B19,'Entrada CDRGL'!H$8:H$43)</f>
        <v>1138181.7109999999</v>
      </c>
      <c r="F19" s="33">
        <f>SUMIF('Entrada CDRGL'!$E$8:$E$43,'Reliquidación CD RGL'!$B19,'Entrada CDRGL'!I$8:I$43)</f>
        <v>170381.96400000001</v>
      </c>
      <c r="G19" s="33">
        <f>SUMIF('Entrada CDRGL'!$E$8:$E$43,'Reliquidación CD RGL'!$B19,'Entrada CDRGL'!J$8:J$43)</f>
        <v>-54816601.429754511</v>
      </c>
      <c r="H19" s="33">
        <v>0</v>
      </c>
      <c r="I19" s="33">
        <f t="shared" si="0"/>
        <v>0</v>
      </c>
      <c r="J19" s="33">
        <v>0</v>
      </c>
      <c r="K19" s="33">
        <f t="shared" si="2"/>
        <v>0</v>
      </c>
      <c r="L19" s="33">
        <f t="shared" si="3"/>
        <v>-54816601.429754511</v>
      </c>
      <c r="M19" s="33">
        <f t="shared" si="4"/>
        <v>54816601.429754511</v>
      </c>
      <c r="N19" s="33">
        <f t="shared" si="6"/>
        <v>0</v>
      </c>
      <c r="O19" s="33">
        <f t="shared" si="1"/>
        <v>54816601.429754511</v>
      </c>
      <c r="P19" s="33">
        <f t="shared" si="5"/>
        <v>0</v>
      </c>
      <c r="Q19" s="68"/>
    </row>
    <row r="20" spans="2:17" x14ac:dyDescent="0.2">
      <c r="B20" s="32" t="s">
        <v>27</v>
      </c>
      <c r="C20" s="33">
        <f>SUMIF('Entrada CDRGL'!$E$8:$E$43,'Reliquidación CD RGL'!$B20,'Entrada CDRGL'!F$8:F$43)</f>
        <v>3244522.9169999999</v>
      </c>
      <c r="D20" s="33">
        <f>SUMIF('Entrada CDRGL'!$E$8:$E$43,'Reliquidación CD RGL'!$B20,'Entrada CDRGL'!G$8:G$43)</f>
        <v>18023899.783</v>
      </c>
      <c r="E20" s="33">
        <f>SUMIF('Entrada CDRGL'!$E$8:$E$43,'Reliquidación CD RGL'!$B20,'Entrada CDRGL'!H$8:H$43)</f>
        <v>0</v>
      </c>
      <c r="F20" s="33">
        <f>SUMIF('Entrada CDRGL'!$E$8:$E$43,'Reliquidación CD RGL'!$B20,'Entrada CDRGL'!I$8:I$43)</f>
        <v>16943.004000000001</v>
      </c>
      <c r="G20" s="33">
        <f>SUMIF('Entrada CDRGL'!$E$8:$E$43,'Reliquidación CD RGL'!$B20,'Entrada CDRGL'!J$8:J$43)</f>
        <v>40253138.869878232</v>
      </c>
      <c r="H20" s="33">
        <v>6103644.5133336671</v>
      </c>
      <c r="I20" s="33">
        <f t="shared" si="0"/>
        <v>6163197.960852324</v>
      </c>
      <c r="J20" s="33">
        <v>0</v>
      </c>
      <c r="K20" s="33">
        <f t="shared" si="2"/>
        <v>0</v>
      </c>
      <c r="L20" s="33">
        <f t="shared" si="3"/>
        <v>46416336.830730557</v>
      </c>
      <c r="M20" s="33">
        <f t="shared" si="4"/>
        <v>0</v>
      </c>
      <c r="N20" s="33">
        <f t="shared" si="6"/>
        <v>46416336.830730557</v>
      </c>
      <c r="O20" s="33">
        <f t="shared" si="1"/>
        <v>-33876446.839515053</v>
      </c>
      <c r="P20" s="33">
        <f t="shared" si="5"/>
        <v>12539889.991215505</v>
      </c>
      <c r="Q20" s="68"/>
    </row>
    <row r="21" spans="2:17" x14ac:dyDescent="0.2">
      <c r="B21" s="32" t="s">
        <v>28</v>
      </c>
      <c r="C21" s="33">
        <f>SUMIF('Entrada CDRGL'!$E$8:$E$43,'Reliquidación CD RGL'!$B21,'Entrada CDRGL'!F$8:F$43)</f>
        <v>0</v>
      </c>
      <c r="D21" s="33">
        <f>SUMIF('Entrada CDRGL'!$E$8:$E$43,'Reliquidación CD RGL'!$B21,'Entrada CDRGL'!G$8:G$43)</f>
        <v>0</v>
      </c>
      <c r="E21" s="33">
        <f>SUMIF('Entrada CDRGL'!$E$8:$E$43,'Reliquidación CD RGL'!$B21,'Entrada CDRGL'!H$8:H$43)</f>
        <v>0</v>
      </c>
      <c r="F21" s="33">
        <f>SUMIF('Entrada CDRGL'!$E$8:$E$43,'Reliquidación CD RGL'!$B21,'Entrada CDRGL'!I$8:I$43)</f>
        <v>0</v>
      </c>
      <c r="G21" s="33">
        <f>SUMIF('Entrada CDRGL'!$E$8:$E$43,'Reliquidación CD RGL'!$B21,'Entrada CDRGL'!J$8:J$43)</f>
        <v>0</v>
      </c>
      <c r="H21" s="33">
        <v>0</v>
      </c>
      <c r="I21" s="33">
        <f t="shared" si="0"/>
        <v>0</v>
      </c>
      <c r="J21" s="33">
        <v>0</v>
      </c>
      <c r="K21" s="33">
        <f t="shared" si="2"/>
        <v>0</v>
      </c>
      <c r="L21" s="33">
        <f t="shared" si="3"/>
        <v>0</v>
      </c>
      <c r="M21" s="33">
        <f t="shared" si="4"/>
        <v>0</v>
      </c>
      <c r="N21" s="33">
        <f t="shared" si="6"/>
        <v>0</v>
      </c>
      <c r="O21" s="33">
        <f t="shared" si="1"/>
        <v>0</v>
      </c>
      <c r="P21" s="33">
        <f t="shared" si="5"/>
        <v>0</v>
      </c>
      <c r="Q21" s="68"/>
    </row>
    <row r="22" spans="2:17" x14ac:dyDescent="0.2">
      <c r="B22" s="32" t="s">
        <v>29</v>
      </c>
      <c r="C22" s="33">
        <f>SUMIF('Entrada CDRGL'!$E$8:$E$43,'Reliquidación CD RGL'!$B22,'Entrada CDRGL'!F$8:F$43)</f>
        <v>1337677</v>
      </c>
      <c r="D22" s="33">
        <f>SUMIF('Entrada CDRGL'!$E$8:$E$43,'Reliquidación CD RGL'!$B22,'Entrada CDRGL'!G$8:G$43)</f>
        <v>7924621</v>
      </c>
      <c r="E22" s="33">
        <f>SUMIF('Entrada CDRGL'!$E$8:$E$43,'Reliquidación CD RGL'!$B22,'Entrada CDRGL'!H$8:H$43)</f>
        <v>880</v>
      </c>
      <c r="F22" s="33">
        <f>SUMIF('Entrada CDRGL'!$E$8:$E$43,'Reliquidación CD RGL'!$B22,'Entrada CDRGL'!I$8:I$43)</f>
        <v>17333</v>
      </c>
      <c r="G22" s="33">
        <f>SUMIF('Entrada CDRGL'!$E$8:$E$43,'Reliquidación CD RGL'!$B22,'Entrada CDRGL'!J$8:J$43)</f>
        <v>-5126347.5559415203</v>
      </c>
      <c r="H22" s="33">
        <v>0</v>
      </c>
      <c r="I22" s="33">
        <f t="shared" si="0"/>
        <v>0</v>
      </c>
      <c r="J22" s="33">
        <v>0</v>
      </c>
      <c r="K22" s="33">
        <f t="shared" si="2"/>
        <v>0</v>
      </c>
      <c r="L22" s="33">
        <f t="shared" si="3"/>
        <v>-5126347.5559415203</v>
      </c>
      <c r="M22" s="33">
        <f t="shared" si="4"/>
        <v>5126347.5559415203</v>
      </c>
      <c r="N22" s="33">
        <f t="shared" si="6"/>
        <v>0</v>
      </c>
      <c r="O22" s="33">
        <f t="shared" si="1"/>
        <v>5126347.5559415212</v>
      </c>
      <c r="P22" s="33">
        <f t="shared" si="5"/>
        <v>0</v>
      </c>
      <c r="Q22" s="68"/>
    </row>
    <row r="23" spans="2:17" x14ac:dyDescent="0.2">
      <c r="B23" s="32" t="s">
        <v>30</v>
      </c>
      <c r="C23" s="33">
        <f>SUMIF('Entrada CDRGL'!$E$8:$E$43,'Reliquidación CD RGL'!$B23,'Entrada CDRGL'!F$8:F$43)</f>
        <v>4035448</v>
      </c>
      <c r="D23" s="33">
        <f>SUMIF('Entrada CDRGL'!$E$8:$E$43,'Reliquidación CD RGL'!$B23,'Entrada CDRGL'!G$8:G$43)</f>
        <v>13663454</v>
      </c>
      <c r="E23" s="33">
        <f>SUMIF('Entrada CDRGL'!$E$8:$E$43,'Reliquidación CD RGL'!$B23,'Entrada CDRGL'!H$8:H$43)</f>
        <v>687984</v>
      </c>
      <c r="F23" s="33">
        <f>SUMIF('Entrada CDRGL'!$E$8:$E$43,'Reliquidación CD RGL'!$B23,'Entrada CDRGL'!I$8:I$43)</f>
        <v>116064</v>
      </c>
      <c r="G23" s="33">
        <f>SUMIF('Entrada CDRGL'!$E$8:$E$43,'Reliquidación CD RGL'!$B23,'Entrada CDRGL'!J$8:J$43)</f>
        <v>22874399.108395942</v>
      </c>
      <c r="H23" s="33">
        <v>0</v>
      </c>
      <c r="I23" s="33">
        <f t="shared" si="0"/>
        <v>0</v>
      </c>
      <c r="J23" s="33">
        <v>0</v>
      </c>
      <c r="K23" s="33">
        <f t="shared" si="2"/>
        <v>0</v>
      </c>
      <c r="L23" s="33">
        <f t="shared" si="3"/>
        <v>22874399.108395942</v>
      </c>
      <c r="M23" s="33">
        <f t="shared" si="4"/>
        <v>0</v>
      </c>
      <c r="N23" s="33">
        <f t="shared" si="6"/>
        <v>22874399.108395942</v>
      </c>
      <c r="O23" s="33">
        <f t="shared" si="1"/>
        <v>-16694625.605792968</v>
      </c>
      <c r="P23" s="33">
        <f t="shared" si="5"/>
        <v>6179773.502602974</v>
      </c>
      <c r="Q23" s="68"/>
    </row>
    <row r="24" spans="2:17" x14ac:dyDescent="0.2">
      <c r="B24" s="32" t="s">
        <v>31</v>
      </c>
      <c r="C24" s="33">
        <f>SUMIF('Entrada CDRGL'!$E$8:$E$43,'Reliquidación CD RGL'!$B24,'Entrada CDRGL'!F$8:F$43)</f>
        <v>1680286</v>
      </c>
      <c r="D24" s="33">
        <f>SUMIF('Entrada CDRGL'!$E$8:$E$43,'Reliquidación CD RGL'!$B24,'Entrada CDRGL'!G$8:G$43)</f>
        <v>13303288</v>
      </c>
      <c r="E24" s="33">
        <f>SUMIF('Entrada CDRGL'!$E$8:$E$43,'Reliquidación CD RGL'!$B24,'Entrada CDRGL'!H$8:H$43)</f>
        <v>85</v>
      </c>
      <c r="F24" s="33">
        <f>SUMIF('Entrada CDRGL'!$E$8:$E$43,'Reliquidación CD RGL'!$B24,'Entrada CDRGL'!I$8:I$43)</f>
        <v>62987</v>
      </c>
      <c r="G24" s="33">
        <f>SUMIF('Entrada CDRGL'!$E$8:$E$43,'Reliquidación CD RGL'!$B24,'Entrada CDRGL'!J$8:J$43)</f>
        <v>22216359.10312707</v>
      </c>
      <c r="H24" s="33">
        <v>3092704.1860522237</v>
      </c>
      <c r="I24" s="33">
        <f t="shared" si="0"/>
        <v>3122879.7960557942</v>
      </c>
      <c r="J24" s="33">
        <v>0</v>
      </c>
      <c r="K24" s="33">
        <f t="shared" si="2"/>
        <v>0</v>
      </c>
      <c r="L24" s="33">
        <f t="shared" si="3"/>
        <v>25339238.899182864</v>
      </c>
      <c r="M24" s="33">
        <f t="shared" si="4"/>
        <v>0</v>
      </c>
      <c r="N24" s="33">
        <f t="shared" si="6"/>
        <v>25339238.899182864</v>
      </c>
      <c r="O24" s="33">
        <f t="shared" si="1"/>
        <v>-18493561.494357795</v>
      </c>
      <c r="P24" s="33">
        <f t="shared" si="5"/>
        <v>6845677.404825069</v>
      </c>
      <c r="Q24" s="68"/>
    </row>
    <row r="25" spans="2:17" x14ac:dyDescent="0.2">
      <c r="B25" s="32" t="s">
        <v>32</v>
      </c>
      <c r="C25" s="33">
        <f>SUMIF('Entrada CDRGL'!$E$8:$E$43,'Reliquidación CD RGL'!$B25,'Entrada CDRGL'!F$8:F$43)</f>
        <v>422574</v>
      </c>
      <c r="D25" s="33">
        <f>SUMIF('Entrada CDRGL'!$E$8:$E$43,'Reliquidación CD RGL'!$B25,'Entrada CDRGL'!G$8:G$43)</f>
        <v>2515825</v>
      </c>
      <c r="E25" s="33">
        <f>SUMIF('Entrada CDRGL'!$E$8:$E$43,'Reliquidación CD RGL'!$B25,'Entrada CDRGL'!H$8:H$43)</f>
        <v>93373</v>
      </c>
      <c r="F25" s="33">
        <f>SUMIF('Entrada CDRGL'!$E$8:$E$43,'Reliquidación CD RGL'!$B25,'Entrada CDRGL'!I$8:I$43)</f>
        <v>37668</v>
      </c>
      <c r="G25" s="33">
        <f>SUMIF('Entrada CDRGL'!$E$8:$E$43,'Reliquidación CD RGL'!$B25,'Entrada CDRGL'!J$8:J$43)</f>
        <v>-5475366.0012249406</v>
      </c>
      <c r="H25" s="33">
        <v>0</v>
      </c>
      <c r="I25" s="33">
        <f t="shared" si="0"/>
        <v>0</v>
      </c>
      <c r="J25" s="33">
        <v>0</v>
      </c>
      <c r="K25" s="33">
        <f t="shared" si="2"/>
        <v>0</v>
      </c>
      <c r="L25" s="33">
        <f t="shared" si="3"/>
        <v>-5475366.0012249406</v>
      </c>
      <c r="M25" s="33">
        <f t="shared" si="4"/>
        <v>5475366.0012249406</v>
      </c>
      <c r="N25" s="33">
        <f t="shared" si="6"/>
        <v>0</v>
      </c>
      <c r="O25" s="33">
        <f t="shared" si="1"/>
        <v>5475366.0012249406</v>
      </c>
      <c r="P25" s="33">
        <f t="shared" si="5"/>
        <v>0</v>
      </c>
      <c r="Q25" s="68"/>
    </row>
    <row r="26" spans="2:17" x14ac:dyDescent="0.2">
      <c r="B26" s="32" t="s">
        <v>33</v>
      </c>
      <c r="C26" s="33">
        <f>SUMIF('Entrada CDRGL'!$E$8:$E$43,'Reliquidación CD RGL'!$B26,'Entrada CDRGL'!F$8:F$43)</f>
        <v>1033516</v>
      </c>
      <c r="D26" s="33">
        <f>SUMIF('Entrada CDRGL'!$E$8:$E$43,'Reliquidación CD RGL'!$B26,'Entrada CDRGL'!G$8:G$43)</f>
        <v>1899168</v>
      </c>
      <c r="E26" s="33">
        <f>SUMIF('Entrada CDRGL'!$E$8:$E$43,'Reliquidación CD RGL'!$B26,'Entrada CDRGL'!H$8:H$43)</f>
        <v>102954</v>
      </c>
      <c r="F26" s="33">
        <f>SUMIF('Entrada CDRGL'!$E$8:$E$43,'Reliquidación CD RGL'!$B26,'Entrada CDRGL'!I$8:I$43)</f>
        <v>6473</v>
      </c>
      <c r="G26" s="33">
        <f>SUMIF('Entrada CDRGL'!$E$8:$E$43,'Reliquidación CD RGL'!$B26,'Entrada CDRGL'!J$8:J$43)</f>
        <v>4265595.0254147192</v>
      </c>
      <c r="H26" s="33">
        <v>611775.51685238583</v>
      </c>
      <c r="I26" s="33">
        <f t="shared" si="0"/>
        <v>617744.62941398367</v>
      </c>
      <c r="J26" s="33">
        <v>0</v>
      </c>
      <c r="K26" s="33">
        <f t="shared" si="2"/>
        <v>0</v>
      </c>
      <c r="L26" s="33">
        <f t="shared" si="3"/>
        <v>4883339.654828703</v>
      </c>
      <c r="M26" s="33">
        <f t="shared" si="4"/>
        <v>0</v>
      </c>
      <c r="N26" s="33">
        <f t="shared" si="6"/>
        <v>4883339.654828703</v>
      </c>
      <c r="O26" s="33">
        <f t="shared" si="1"/>
        <v>-3564051.09734069</v>
      </c>
      <c r="P26" s="33">
        <f t="shared" si="5"/>
        <v>1319288.5574880131</v>
      </c>
      <c r="Q26" s="68"/>
    </row>
    <row r="27" spans="2:17" x14ac:dyDescent="0.2">
      <c r="B27" s="32" t="s">
        <v>34</v>
      </c>
      <c r="C27" s="33">
        <f>SUMIF('Entrada CDRGL'!$E$8:$E$43,'Reliquidación CD RGL'!$B27,'Entrada CDRGL'!F$8:F$43)</f>
        <v>1232712</v>
      </c>
      <c r="D27" s="33">
        <f>SUMIF('Entrada CDRGL'!$E$8:$E$43,'Reliquidación CD RGL'!$B27,'Entrada CDRGL'!G$8:G$43)</f>
        <v>6789432</v>
      </c>
      <c r="E27" s="33">
        <f>SUMIF('Entrada CDRGL'!$E$8:$E$43,'Reliquidación CD RGL'!$B27,'Entrada CDRGL'!H$8:H$43)</f>
        <v>267955</v>
      </c>
      <c r="F27" s="33">
        <f>SUMIF('Entrada CDRGL'!$E$8:$E$43,'Reliquidación CD RGL'!$B27,'Entrada CDRGL'!I$8:I$43)</f>
        <v>76826</v>
      </c>
      <c r="G27" s="33">
        <f>SUMIF('Entrada CDRGL'!$E$8:$E$43,'Reliquidación CD RGL'!$B27,'Entrada CDRGL'!J$8:J$43)</f>
        <v>155728.336263492</v>
      </c>
      <c r="H27" s="33">
        <v>54590.324850443401</v>
      </c>
      <c r="I27" s="33">
        <f t="shared" si="0"/>
        <v>55122.964331478914</v>
      </c>
      <c r="J27" s="33">
        <v>0</v>
      </c>
      <c r="K27" s="33">
        <f t="shared" si="2"/>
        <v>0</v>
      </c>
      <c r="L27" s="33">
        <f t="shared" si="3"/>
        <v>210851.30059497093</v>
      </c>
      <c r="M27" s="33">
        <f t="shared" si="4"/>
        <v>0</v>
      </c>
      <c r="N27" s="33">
        <f t="shared" si="6"/>
        <v>210851.30059497093</v>
      </c>
      <c r="O27" s="33">
        <f t="shared" si="1"/>
        <v>-153887.47504346556</v>
      </c>
      <c r="P27" s="33">
        <f t="shared" si="5"/>
        <v>56963.825551505375</v>
      </c>
      <c r="Q27" s="68"/>
    </row>
    <row r="28" spans="2:17" x14ac:dyDescent="0.2">
      <c r="B28" s="32" t="s">
        <v>35</v>
      </c>
      <c r="C28" s="33">
        <f>SUMIF('Entrada CDRGL'!$E$8:$E$43,'Reliquidación CD RGL'!$B28,'Entrada CDRGL'!F$8:F$43)</f>
        <v>18146722.66</v>
      </c>
      <c r="D28" s="33">
        <f>SUMIF('Entrada CDRGL'!$E$8:$E$43,'Reliquidación CD RGL'!$B28,'Entrada CDRGL'!G$8:G$43)</f>
        <v>65344272.25</v>
      </c>
      <c r="E28" s="33">
        <f>SUMIF('Entrada CDRGL'!$E$8:$E$43,'Reliquidación CD RGL'!$B28,'Entrada CDRGL'!H$8:H$43)</f>
        <v>283367.23</v>
      </c>
      <c r="F28" s="33">
        <f>SUMIF('Entrada CDRGL'!$E$8:$E$43,'Reliquidación CD RGL'!$B28,'Entrada CDRGL'!I$8:I$43)</f>
        <v>110007.8</v>
      </c>
      <c r="G28" s="33">
        <f>SUMIF('Entrada CDRGL'!$E$8:$E$43,'Reliquidación CD RGL'!$B28,'Entrada CDRGL'!J$8:J$43)</f>
        <v>-63734941.420793958</v>
      </c>
      <c r="H28" s="33">
        <v>0</v>
      </c>
      <c r="I28" s="33">
        <f t="shared" si="0"/>
        <v>0</v>
      </c>
      <c r="J28" s="33">
        <v>0</v>
      </c>
      <c r="K28" s="33">
        <f t="shared" si="2"/>
        <v>0</v>
      </c>
      <c r="L28" s="33">
        <f t="shared" si="3"/>
        <v>-63734941.420793958</v>
      </c>
      <c r="M28" s="33">
        <f t="shared" si="4"/>
        <v>63734941.420793958</v>
      </c>
      <c r="N28" s="33">
        <f t="shared" si="6"/>
        <v>0</v>
      </c>
      <c r="O28" s="33">
        <f t="shared" si="1"/>
        <v>63734941.420793958</v>
      </c>
      <c r="P28" s="33">
        <f t="shared" si="5"/>
        <v>0</v>
      </c>
      <c r="Q28" s="68"/>
    </row>
    <row r="29" spans="2:17" x14ac:dyDescent="0.2">
      <c r="B29" s="32" t="s">
        <v>36</v>
      </c>
      <c r="C29" s="33">
        <f>SUMIF('Entrada CDRGL'!$E$8:$E$43,'Reliquidación CD RGL'!$B29,'Entrada CDRGL'!F$8:F$43)</f>
        <v>7623977.3300000001</v>
      </c>
      <c r="D29" s="33">
        <f>SUMIF('Entrada CDRGL'!$E$8:$E$43,'Reliquidación CD RGL'!$B29,'Entrada CDRGL'!G$8:G$43)</f>
        <v>6686820.3399999999</v>
      </c>
      <c r="E29" s="33">
        <f>SUMIF('Entrada CDRGL'!$E$8:$E$43,'Reliquidación CD RGL'!$B29,'Entrada CDRGL'!H$8:H$43)</f>
        <v>128632</v>
      </c>
      <c r="F29" s="33">
        <f>SUMIF('Entrada CDRGL'!$E$8:$E$43,'Reliquidación CD RGL'!$B29,'Entrada CDRGL'!I$8:I$43)</f>
        <v>6261</v>
      </c>
      <c r="G29" s="33">
        <f>SUMIF('Entrada CDRGL'!$E$8:$E$43,'Reliquidación CD RGL'!$B29,'Entrada CDRGL'!J$8:J$43)</f>
        <v>-21317005.939978499</v>
      </c>
      <c r="H29" s="33">
        <v>0</v>
      </c>
      <c r="I29" s="33">
        <f t="shared" si="0"/>
        <v>0</v>
      </c>
      <c r="J29" s="33">
        <v>0</v>
      </c>
      <c r="K29" s="33">
        <f t="shared" si="2"/>
        <v>0</v>
      </c>
      <c r="L29" s="33">
        <f t="shared" si="3"/>
        <v>-21317005.939978499</v>
      </c>
      <c r="M29" s="33">
        <f t="shared" si="4"/>
        <v>21317005.939978499</v>
      </c>
      <c r="N29" s="33">
        <f t="shared" si="6"/>
        <v>0</v>
      </c>
      <c r="O29" s="33">
        <f t="shared" si="1"/>
        <v>21317005.939978499</v>
      </c>
      <c r="P29" s="33">
        <f t="shared" si="5"/>
        <v>0</v>
      </c>
      <c r="Q29" s="68"/>
    </row>
    <row r="30" spans="2:17" x14ac:dyDescent="0.2">
      <c r="B30" s="32" t="s">
        <v>37</v>
      </c>
      <c r="C30" s="33">
        <f>SUMIF('Entrada CDRGL'!$E$8:$E$43,'Reliquidación CD RGL'!$B30,'Entrada CDRGL'!F$8:F$43)</f>
        <v>39086898.990000002</v>
      </c>
      <c r="D30" s="33">
        <f>SUMIF('Entrada CDRGL'!$E$8:$E$43,'Reliquidación CD RGL'!$B30,'Entrada CDRGL'!G$8:G$43)</f>
        <v>116325295.42</v>
      </c>
      <c r="E30" s="33">
        <f>SUMIF('Entrada CDRGL'!$E$8:$E$43,'Reliquidación CD RGL'!$B30,'Entrada CDRGL'!H$8:H$43)</f>
        <v>139457.94</v>
      </c>
      <c r="F30" s="33">
        <f>SUMIF('Entrada CDRGL'!$E$8:$E$43,'Reliquidación CD RGL'!$B30,'Entrada CDRGL'!I$8:I$43)</f>
        <v>133164.53</v>
      </c>
      <c r="G30" s="33">
        <f>SUMIF('Entrada CDRGL'!$E$8:$E$43,'Reliquidación CD RGL'!$B30,'Entrada CDRGL'!J$8:J$43)</f>
        <v>-203176079.86736169</v>
      </c>
      <c r="H30" s="33">
        <v>0</v>
      </c>
      <c r="I30" s="33">
        <f t="shared" si="0"/>
        <v>0</v>
      </c>
      <c r="J30" s="33">
        <v>0</v>
      </c>
      <c r="K30" s="33">
        <f t="shared" si="2"/>
        <v>0</v>
      </c>
      <c r="L30" s="33">
        <f t="shared" si="3"/>
        <v>-203176079.86736169</v>
      </c>
      <c r="M30" s="33">
        <f t="shared" si="4"/>
        <v>203176079.86736169</v>
      </c>
      <c r="N30" s="33">
        <f t="shared" si="6"/>
        <v>0</v>
      </c>
      <c r="O30" s="33">
        <f t="shared" si="1"/>
        <v>203176079.86736169</v>
      </c>
      <c r="P30" s="33">
        <f t="shared" si="5"/>
        <v>0</v>
      </c>
      <c r="Q30" s="68"/>
    </row>
    <row r="31" spans="2:17" x14ac:dyDescent="0.2">
      <c r="B31" s="32" t="s">
        <v>38</v>
      </c>
      <c r="C31" s="33">
        <f>SUMIF('Entrada CDRGL'!$E$8:$E$43,'Reliquidación CD RGL'!$B31,'Entrada CDRGL'!F$8:F$43)</f>
        <v>1633663</v>
      </c>
      <c r="D31" s="33">
        <f>SUMIF('Entrada CDRGL'!$E$8:$E$43,'Reliquidación CD RGL'!$B31,'Entrada CDRGL'!G$8:G$43)</f>
        <v>2991038</v>
      </c>
      <c r="E31" s="33">
        <f>SUMIF('Entrada CDRGL'!$E$8:$E$43,'Reliquidación CD RGL'!$B31,'Entrada CDRGL'!H$8:H$43)</f>
        <v>29315</v>
      </c>
      <c r="F31" s="33">
        <f>SUMIF('Entrada CDRGL'!$E$8:$E$43,'Reliquidación CD RGL'!$B31,'Entrada CDRGL'!I$8:I$43)</f>
        <v>38586</v>
      </c>
      <c r="G31" s="33">
        <f>SUMIF('Entrada CDRGL'!$E$8:$E$43,'Reliquidación CD RGL'!$B31,'Entrada CDRGL'!J$8:J$43)</f>
        <v>3742227.867497358</v>
      </c>
      <c r="H31" s="33">
        <v>492136.61012982996</v>
      </c>
      <c r="I31" s="33">
        <f t="shared" si="0"/>
        <v>496938.40219346521</v>
      </c>
      <c r="J31" s="33">
        <v>0</v>
      </c>
      <c r="K31" s="33">
        <f t="shared" si="2"/>
        <v>0</v>
      </c>
      <c r="L31" s="33">
        <f t="shared" si="3"/>
        <v>4239166.2696908228</v>
      </c>
      <c r="M31" s="33">
        <f t="shared" si="4"/>
        <v>0</v>
      </c>
      <c r="N31" s="33">
        <f t="shared" si="6"/>
        <v>4239166.2696908228</v>
      </c>
      <c r="O31" s="33">
        <f t="shared" si="1"/>
        <v>-3093908.3216056153</v>
      </c>
      <c r="P31" s="33">
        <f t="shared" si="5"/>
        <v>1145257.9480852075</v>
      </c>
      <c r="Q31" s="68"/>
    </row>
    <row r="32" spans="2:17" x14ac:dyDescent="0.2">
      <c r="B32" s="32" t="s">
        <v>39</v>
      </c>
      <c r="C32" s="33">
        <f>SUMIF('Entrada CDRGL'!$E$8:$E$43,'Reliquidación CD RGL'!$B32,'Entrada CDRGL'!F$8:F$43)</f>
        <v>32427172.100000001</v>
      </c>
      <c r="D32" s="33">
        <f>SUMIF('Entrada CDRGL'!$E$8:$E$43,'Reliquidación CD RGL'!$B32,'Entrada CDRGL'!G$8:G$43)</f>
        <v>132226811.75320999</v>
      </c>
      <c r="E32" s="33">
        <f>SUMIF('Entrada CDRGL'!$E$8:$E$43,'Reliquidación CD RGL'!$B32,'Entrada CDRGL'!H$8:H$43)</f>
        <v>2256334.4</v>
      </c>
      <c r="F32" s="33">
        <f>SUMIF('Entrada CDRGL'!$E$8:$E$43,'Reliquidación CD RGL'!$B32,'Entrada CDRGL'!I$8:I$43)</f>
        <v>621627.5</v>
      </c>
      <c r="G32" s="33">
        <f>SUMIF('Entrada CDRGL'!$E$8:$E$43,'Reliquidación CD RGL'!$B32,'Entrada CDRGL'!J$8:J$43)</f>
        <v>-222667798.30997899</v>
      </c>
      <c r="H32" s="33">
        <v>0</v>
      </c>
      <c r="I32" s="33">
        <f t="shared" si="0"/>
        <v>0</v>
      </c>
      <c r="J32" s="33">
        <v>0</v>
      </c>
      <c r="K32" s="33">
        <f t="shared" si="2"/>
        <v>0</v>
      </c>
      <c r="L32" s="33">
        <f t="shared" si="3"/>
        <v>-222667798.30997899</v>
      </c>
      <c r="M32" s="33">
        <f t="shared" si="4"/>
        <v>222667798.30997899</v>
      </c>
      <c r="N32" s="33">
        <f t="shared" si="6"/>
        <v>0</v>
      </c>
      <c r="O32" s="33">
        <f t="shared" si="1"/>
        <v>222667798.30997899</v>
      </c>
      <c r="P32" s="33">
        <f t="shared" si="5"/>
        <v>0</v>
      </c>
      <c r="Q32" s="68"/>
    </row>
    <row r="33" spans="2:17" x14ac:dyDescent="0.2">
      <c r="B33" s="32" t="s">
        <v>40</v>
      </c>
      <c r="C33" s="33">
        <f>SUMIF('Entrada CDRGL'!$E$8:$E$43,'Reliquidación CD RGL'!$B33,'Entrada CDRGL'!F$8:F$43)</f>
        <v>1140659.8</v>
      </c>
      <c r="D33" s="33">
        <f>SUMIF('Entrada CDRGL'!$E$8:$E$43,'Reliquidación CD RGL'!$B33,'Entrada CDRGL'!G$8:G$43)</f>
        <v>2185959.2999999998</v>
      </c>
      <c r="E33" s="33">
        <f>SUMIF('Entrada CDRGL'!$E$8:$E$43,'Reliquidación CD RGL'!$B33,'Entrada CDRGL'!H$8:H$43)</f>
        <v>68454</v>
      </c>
      <c r="F33" s="33">
        <f>SUMIF('Entrada CDRGL'!$E$8:$E$43,'Reliquidación CD RGL'!$B33,'Entrada CDRGL'!I$8:I$43)</f>
        <v>105087</v>
      </c>
      <c r="G33" s="33">
        <f>SUMIF('Entrada CDRGL'!$E$8:$E$43,'Reliquidación CD RGL'!$B33,'Entrada CDRGL'!J$8:J$43)</f>
        <v>4884998.4439598359</v>
      </c>
      <c r="H33" s="33">
        <v>663154.41394416103</v>
      </c>
      <c r="I33" s="33">
        <f t="shared" si="0"/>
        <v>669624.83198723593</v>
      </c>
      <c r="J33" s="33">
        <v>0</v>
      </c>
      <c r="K33" s="33">
        <f t="shared" si="2"/>
        <v>0</v>
      </c>
      <c r="L33" s="33">
        <f t="shared" si="3"/>
        <v>5554623.2759470716</v>
      </c>
      <c r="M33" s="33">
        <f t="shared" si="4"/>
        <v>0</v>
      </c>
      <c r="N33" s="33">
        <f t="shared" si="6"/>
        <v>5554623.2759470716</v>
      </c>
      <c r="O33" s="33">
        <f t="shared" si="1"/>
        <v>-4053979.9770793812</v>
      </c>
      <c r="P33" s="33">
        <f t="shared" si="5"/>
        <v>1500643.2988676904</v>
      </c>
      <c r="Q33" s="68"/>
    </row>
    <row r="34" spans="2:17" x14ac:dyDescent="0.2">
      <c r="B34" s="32" t="s">
        <v>41</v>
      </c>
      <c r="C34" s="33">
        <f>SUMIF('Entrada CDRGL'!$E$8:$E$43,'Reliquidación CD RGL'!$B34,'Entrada CDRGL'!F$8:F$43)</f>
        <v>1292871.5</v>
      </c>
      <c r="D34" s="33">
        <f>SUMIF('Entrada CDRGL'!$E$8:$E$43,'Reliquidación CD RGL'!$B34,'Entrada CDRGL'!G$8:G$43)</f>
        <v>9543185.6530000009</v>
      </c>
      <c r="E34" s="33">
        <f>SUMIF('Entrada CDRGL'!$E$8:$E$43,'Reliquidación CD RGL'!$B34,'Entrada CDRGL'!H$8:H$43)</f>
        <v>11389</v>
      </c>
      <c r="F34" s="33">
        <f>SUMIF('Entrada CDRGL'!$E$8:$E$43,'Reliquidación CD RGL'!$B34,'Entrada CDRGL'!I$8:I$43)</f>
        <v>38559</v>
      </c>
      <c r="G34" s="33">
        <f>SUMIF('Entrada CDRGL'!$E$8:$E$43,'Reliquidación CD RGL'!$B34,'Entrada CDRGL'!J$8:J$43)</f>
        <v>16138483.35900378</v>
      </c>
      <c r="H34" s="33">
        <v>2192263.6412798651</v>
      </c>
      <c r="I34" s="33">
        <f t="shared" si="0"/>
        <v>2213653.6251530759</v>
      </c>
      <c r="J34" s="33">
        <v>0</v>
      </c>
      <c r="K34" s="33">
        <f t="shared" si="2"/>
        <v>0</v>
      </c>
      <c r="L34" s="33">
        <f t="shared" si="3"/>
        <v>18352136.984156854</v>
      </c>
      <c r="M34" s="33">
        <f t="shared" si="4"/>
        <v>0</v>
      </c>
      <c r="N34" s="33">
        <f t="shared" si="6"/>
        <v>18352136.984156854</v>
      </c>
      <c r="O34" s="33">
        <f t="shared" si="1"/>
        <v>-13394102.925495824</v>
      </c>
      <c r="P34" s="33">
        <f t="shared" si="5"/>
        <v>4958034.0586610306</v>
      </c>
      <c r="Q34" s="68"/>
    </row>
    <row r="35" spans="2:17" x14ac:dyDescent="0.2">
      <c r="B35" s="32" t="s">
        <v>42</v>
      </c>
      <c r="C35" s="33">
        <f>SUMIF('Entrada CDRGL'!$E$8:$E$43,'Reliquidación CD RGL'!$B35,'Entrada CDRGL'!F$8:F$43)</f>
        <v>2279830.2000000002</v>
      </c>
      <c r="D35" s="33">
        <f>SUMIF('Entrada CDRGL'!$E$8:$E$43,'Reliquidación CD RGL'!$B35,'Entrada CDRGL'!G$8:G$43)</f>
        <v>5982451.7654999997</v>
      </c>
      <c r="E35" s="33">
        <f>SUMIF('Entrada CDRGL'!$E$8:$E$43,'Reliquidación CD RGL'!$B35,'Entrada CDRGL'!H$8:H$43)</f>
        <v>235307</v>
      </c>
      <c r="F35" s="33">
        <f>SUMIF('Entrada CDRGL'!$E$8:$E$43,'Reliquidación CD RGL'!$B35,'Entrada CDRGL'!I$8:I$43)</f>
        <v>43330.176800000001</v>
      </c>
      <c r="G35" s="33">
        <f>SUMIF('Entrada CDRGL'!$E$8:$E$43,'Reliquidación CD RGL'!$B35,'Entrada CDRGL'!J$8:J$43)</f>
        <v>-39204804.746578217</v>
      </c>
      <c r="H35" s="33">
        <v>0</v>
      </c>
      <c r="I35" s="33">
        <f t="shared" si="0"/>
        <v>0</v>
      </c>
      <c r="J35" s="33">
        <v>0</v>
      </c>
      <c r="K35" s="33">
        <f t="shared" si="2"/>
        <v>0</v>
      </c>
      <c r="L35" s="33">
        <f t="shared" si="3"/>
        <v>-39204804.746578217</v>
      </c>
      <c r="M35" s="33">
        <f t="shared" si="4"/>
        <v>39204804.746578217</v>
      </c>
      <c r="N35" s="33">
        <f t="shared" si="6"/>
        <v>0</v>
      </c>
      <c r="O35" s="33">
        <f t="shared" si="1"/>
        <v>39204804.746578217</v>
      </c>
      <c r="P35" s="33">
        <f t="shared" si="5"/>
        <v>0</v>
      </c>
      <c r="Q35" s="68"/>
    </row>
    <row r="36" spans="2:17" x14ac:dyDescent="0.2">
      <c r="B36" s="32" t="s">
        <v>43</v>
      </c>
      <c r="C36" s="33">
        <f>SUMIF('Entrada CDRGL'!$E$8:$E$43,'Reliquidación CD RGL'!$B36,'Entrada CDRGL'!F$8:F$43)</f>
        <v>1736762.9001</v>
      </c>
      <c r="D36" s="33">
        <f>SUMIF('Entrada CDRGL'!$E$8:$E$43,'Reliquidación CD RGL'!$B36,'Entrada CDRGL'!G$8:G$43)</f>
        <v>4296663.1634999998</v>
      </c>
      <c r="E36" s="33">
        <f>SUMIF('Entrada CDRGL'!$E$8:$E$43,'Reliquidación CD RGL'!$B36,'Entrada CDRGL'!H$8:H$43)</f>
        <v>316227.20000000001</v>
      </c>
      <c r="F36" s="33">
        <f>SUMIF('Entrada CDRGL'!$E$8:$E$43,'Reliquidación CD RGL'!$B36,'Entrada CDRGL'!I$8:I$43)</f>
        <v>72725.100000000006</v>
      </c>
      <c r="G36" s="33">
        <f>SUMIF('Entrada CDRGL'!$E$8:$E$43,'Reliquidación CD RGL'!$B36,'Entrada CDRGL'!J$8:J$43)</f>
        <v>7557583.0187814552</v>
      </c>
      <c r="H36" s="33">
        <v>1037162.307473789</v>
      </c>
      <c r="I36" s="33">
        <f t="shared" si="0"/>
        <v>1047281.9320540766</v>
      </c>
      <c r="J36" s="33">
        <v>0</v>
      </c>
      <c r="K36" s="33">
        <f t="shared" si="2"/>
        <v>0</v>
      </c>
      <c r="L36" s="33">
        <f t="shared" si="3"/>
        <v>8604864.9508355316</v>
      </c>
      <c r="M36" s="33">
        <f t="shared" si="4"/>
        <v>0</v>
      </c>
      <c r="N36" s="33">
        <f t="shared" si="6"/>
        <v>8604864.9508355316</v>
      </c>
      <c r="O36" s="33">
        <f t="shared" si="1"/>
        <v>-6280164.9154526396</v>
      </c>
      <c r="P36" s="33">
        <f t="shared" si="5"/>
        <v>2324700.035382892</v>
      </c>
      <c r="Q36" s="68"/>
    </row>
    <row r="37" spans="2:17" x14ac:dyDescent="0.2">
      <c r="B37" s="32" t="s">
        <v>45</v>
      </c>
      <c r="C37" s="33">
        <f>SUMIF('Entrada CDRGL'!$E$8:$E$43,'Reliquidación CD RGL'!$B37,'Entrada CDRGL'!F$8:F$43)</f>
        <v>500440.00000000012</v>
      </c>
      <c r="D37" s="33">
        <f>SUMIF('Entrada CDRGL'!$E$8:$E$43,'Reliquidación CD RGL'!$B37,'Entrada CDRGL'!G$8:G$43)</f>
        <v>824926</v>
      </c>
      <c r="E37" s="33">
        <f>SUMIF('Entrada CDRGL'!$E$8:$E$43,'Reliquidación CD RGL'!$B37,'Entrada CDRGL'!H$8:H$43)</f>
        <v>31694</v>
      </c>
      <c r="F37" s="33">
        <f>SUMIF('Entrada CDRGL'!$E$8:$E$43,'Reliquidación CD RGL'!$B37,'Entrada CDRGL'!I$8:I$43)</f>
        <v>11501</v>
      </c>
      <c r="G37" s="33">
        <f>SUMIF('Entrada CDRGL'!$E$8:$E$43,'Reliquidación CD RGL'!$B37,'Entrada CDRGL'!J$8:J$43)</f>
        <v>-10581529.703919919</v>
      </c>
      <c r="H37" s="33">
        <v>0</v>
      </c>
      <c r="I37" s="33">
        <f t="shared" si="0"/>
        <v>0</v>
      </c>
      <c r="J37" s="33">
        <v>0</v>
      </c>
      <c r="K37" s="33">
        <f t="shared" si="2"/>
        <v>0</v>
      </c>
      <c r="L37" s="33">
        <f t="shared" si="3"/>
        <v>-10581529.703919919</v>
      </c>
      <c r="M37" s="33">
        <f t="shared" si="4"/>
        <v>10581529.703919919</v>
      </c>
      <c r="N37" s="33">
        <f t="shared" si="6"/>
        <v>0</v>
      </c>
      <c r="O37" s="33">
        <f t="shared" si="1"/>
        <v>10581529.703919919</v>
      </c>
      <c r="P37" s="33">
        <f t="shared" si="5"/>
        <v>0</v>
      </c>
      <c r="Q37" s="68"/>
    </row>
    <row r="38" spans="2:17" x14ac:dyDescent="0.2">
      <c r="B38" s="32" t="s">
        <v>46</v>
      </c>
      <c r="C38" s="33">
        <f>SUMIF('Entrada CDRGL'!$E$8:$E$43,'Reliquidación CD RGL'!$B38,'Entrada CDRGL'!F$8:F$43)</f>
        <v>4050077.4360000002</v>
      </c>
      <c r="D38" s="33">
        <f>SUMIF('Entrada CDRGL'!$E$8:$E$43,'Reliquidación CD RGL'!$B38,'Entrada CDRGL'!G$8:G$43)</f>
        <v>16871536.622000001</v>
      </c>
      <c r="E38" s="33">
        <f>SUMIF('Entrada CDRGL'!$E$8:$E$43,'Reliquidación CD RGL'!$B38,'Entrada CDRGL'!H$8:H$43)</f>
        <v>3639.0010000000002</v>
      </c>
      <c r="F38" s="33">
        <f>SUMIF('Entrada CDRGL'!$E$8:$E$43,'Reliquidación CD RGL'!$B38,'Entrada CDRGL'!I$8:I$43)</f>
        <v>27289.016</v>
      </c>
      <c r="G38" s="33">
        <f>SUMIF('Entrada CDRGL'!$E$8:$E$43,'Reliquidación CD RGL'!$B38,'Entrada CDRGL'!J$8:J$43)</f>
        <v>33578753.916288972</v>
      </c>
      <c r="H38" s="33">
        <v>4627680.3126879632</v>
      </c>
      <c r="I38" s="33">
        <f t="shared" si="0"/>
        <v>4672832.73203885</v>
      </c>
      <c r="J38" s="33">
        <v>0</v>
      </c>
      <c r="K38" s="33">
        <f t="shared" si="2"/>
        <v>0</v>
      </c>
      <c r="L38" s="33">
        <f t="shared" si="3"/>
        <v>38251586.64832782</v>
      </c>
      <c r="M38" s="33">
        <f>IF(L38&lt;0,-L38,0)</f>
        <v>0</v>
      </c>
      <c r="N38" s="33">
        <f>IF(L38&gt;0,L38,0)</f>
        <v>38251586.64832782</v>
      </c>
      <c r="O38" s="33">
        <f t="shared" si="1"/>
        <v>-27917494.789491035</v>
      </c>
      <c r="P38" s="33">
        <f t="shared" si="5"/>
        <v>10334091.858836785</v>
      </c>
      <c r="Q38" s="68"/>
    </row>
    <row r="39" spans="2:17" x14ac:dyDescent="0.2">
      <c r="B39" s="32" t="s">
        <v>47</v>
      </c>
      <c r="C39" s="33">
        <f>SUMIF('Entrada CDRGL'!$E$8:$E$43,'Reliquidación CD RGL'!$B39,'Entrada CDRGL'!F$8:F$43)</f>
        <v>5965058.4289999995</v>
      </c>
      <c r="D39" s="33">
        <f>SUMIF('Entrada CDRGL'!$E$8:$E$43,'Reliquidación CD RGL'!$B39,'Entrada CDRGL'!G$8:G$43)</f>
        <v>26994305.197000001</v>
      </c>
      <c r="E39" s="33">
        <f>SUMIF('Entrada CDRGL'!$E$8:$E$43,'Reliquidación CD RGL'!$B39,'Entrada CDRGL'!H$8:H$43)</f>
        <v>14725.08</v>
      </c>
      <c r="F39" s="33">
        <f>SUMIF('Entrada CDRGL'!$E$8:$E$43,'Reliquidación CD RGL'!$B39,'Entrada CDRGL'!I$8:I$43)</f>
        <v>23232.508000000002</v>
      </c>
      <c r="G39" s="33">
        <f>SUMIF('Entrada CDRGL'!$E$8:$E$43,'Reliquidación CD RGL'!$B39,'Entrada CDRGL'!J$8:J$43)</f>
        <v>-91949096.725987613</v>
      </c>
      <c r="H39" s="33">
        <v>0</v>
      </c>
      <c r="I39" s="33">
        <f t="shared" si="0"/>
        <v>0</v>
      </c>
      <c r="J39" s="33">
        <v>0</v>
      </c>
      <c r="K39" s="33">
        <f t="shared" si="2"/>
        <v>0</v>
      </c>
      <c r="L39" s="33">
        <f t="shared" si="3"/>
        <v>-91949096.725987613</v>
      </c>
      <c r="M39" s="33">
        <f t="shared" si="4"/>
        <v>91949096.725987613</v>
      </c>
      <c r="N39" s="33">
        <f t="shared" si="6"/>
        <v>0</v>
      </c>
      <c r="O39" s="33">
        <f t="shared" si="1"/>
        <v>91949096.725987613</v>
      </c>
      <c r="P39" s="33">
        <f t="shared" si="5"/>
        <v>0</v>
      </c>
      <c r="Q39" s="68"/>
    </row>
    <row r="40" spans="2:17" x14ac:dyDescent="0.2">
      <c r="B40" s="32" t="s">
        <v>48</v>
      </c>
      <c r="C40" s="33">
        <f>SUMIF('Entrada CDRGL'!$E$8:$E$43,'Reliquidación CD RGL'!$B40,'Entrada CDRGL'!F$8:F$43)</f>
        <v>13073514.904999999</v>
      </c>
      <c r="D40" s="33">
        <f>SUMIF('Entrada CDRGL'!$E$8:$E$43,'Reliquidación CD RGL'!$B40,'Entrada CDRGL'!G$8:G$43)</f>
        <v>50157817.648999996</v>
      </c>
      <c r="E40" s="33">
        <f>SUMIF('Entrada CDRGL'!$E$8:$E$43,'Reliquidación CD RGL'!$B40,'Entrada CDRGL'!H$8:H$43)</f>
        <v>30706.560000000001</v>
      </c>
      <c r="F40" s="33">
        <f>SUMIF('Entrada CDRGL'!$E$8:$E$43,'Reliquidación CD RGL'!$B40,'Entrada CDRGL'!I$8:I$43)</f>
        <v>72807.678</v>
      </c>
      <c r="G40" s="33">
        <f>SUMIF('Entrada CDRGL'!$E$8:$E$43,'Reliquidación CD RGL'!$B40,'Entrada CDRGL'!J$8:J$43)</f>
        <v>-171082955.71017131</v>
      </c>
      <c r="H40" s="33">
        <v>0</v>
      </c>
      <c r="I40" s="33">
        <f t="shared" si="0"/>
        <v>0</v>
      </c>
      <c r="J40" s="33">
        <v>0</v>
      </c>
      <c r="K40" s="33">
        <f t="shared" si="2"/>
        <v>0</v>
      </c>
      <c r="L40" s="33">
        <f t="shared" si="3"/>
        <v>-171082955.71017131</v>
      </c>
      <c r="M40" s="33">
        <f t="shared" si="4"/>
        <v>171082955.71017131</v>
      </c>
      <c r="N40" s="33">
        <f t="shared" si="6"/>
        <v>0</v>
      </c>
      <c r="O40" s="33">
        <f t="shared" si="1"/>
        <v>171082955.71017131</v>
      </c>
      <c r="P40" s="33">
        <f t="shared" si="5"/>
        <v>0</v>
      </c>
      <c r="Q40" s="68"/>
    </row>
    <row r="41" spans="2:17" x14ac:dyDescent="0.2">
      <c r="B41" s="32" t="s">
        <v>49</v>
      </c>
      <c r="C41" s="33">
        <f>SUMIF('Entrada CDRGL'!$E$8:$E$43,'Reliquidación CD RGL'!$B41,'Entrada CDRGL'!F$8:F$43)</f>
        <v>0</v>
      </c>
      <c r="D41" s="33">
        <f>SUMIF('Entrada CDRGL'!$E$8:$E$43,'Reliquidación CD RGL'!$B41,'Entrada CDRGL'!G$8:G$43)</f>
        <v>0</v>
      </c>
      <c r="E41" s="33">
        <f>SUMIF('Entrada CDRGL'!$E$8:$E$43,'Reliquidación CD RGL'!$B41,'Entrada CDRGL'!H$8:H$43)</f>
        <v>0</v>
      </c>
      <c r="F41" s="33">
        <f>SUMIF('Entrada CDRGL'!$E$8:$E$43,'Reliquidación CD RGL'!$B41,'Entrada CDRGL'!I$8:I$43)</f>
        <v>0</v>
      </c>
      <c r="G41" s="33">
        <f>SUMIF('Entrada CDRGL'!$E$8:$E$43,'Reliquidación CD RGL'!$B41,'Entrada CDRGL'!J$8:J$43)</f>
        <v>0</v>
      </c>
      <c r="H41" s="33">
        <v>0</v>
      </c>
      <c r="I41" s="33">
        <f t="shared" si="0"/>
        <v>0</v>
      </c>
      <c r="J41" s="33">
        <v>0</v>
      </c>
      <c r="K41" s="33">
        <f t="shared" si="2"/>
        <v>0</v>
      </c>
      <c r="L41" s="33">
        <f t="shared" si="3"/>
        <v>0</v>
      </c>
      <c r="M41" s="33">
        <f>IF(L41&lt;0,-L41,0)</f>
        <v>0</v>
      </c>
      <c r="N41" s="33">
        <f>IF(L41&gt;0,L41,0)</f>
        <v>0</v>
      </c>
      <c r="O41" s="33">
        <f t="shared" si="1"/>
        <v>0</v>
      </c>
      <c r="P41" s="33">
        <f>L41+O41</f>
        <v>0</v>
      </c>
      <c r="Q41" s="68"/>
    </row>
    <row r="42" spans="2:17" x14ac:dyDescent="0.2">
      <c r="B42" s="32" t="s">
        <v>50</v>
      </c>
      <c r="C42" s="33">
        <f>SUMIF('Entrada CDRGL'!$E$8:$E$43,'Reliquidación CD RGL'!$B42,'Entrada CDRGL'!F$8:F$43)</f>
        <v>0</v>
      </c>
      <c r="D42" s="33">
        <f>SUMIF('Entrada CDRGL'!$E$8:$E$43,'Reliquidación CD RGL'!$B42,'Entrada CDRGL'!G$8:G$43)</f>
        <v>6319.3</v>
      </c>
      <c r="E42" s="33">
        <f>SUMIF('Entrada CDRGL'!$E$8:$E$43,'Reliquidación CD RGL'!$B42,'Entrada CDRGL'!H$8:H$43)</f>
        <v>0</v>
      </c>
      <c r="F42" s="33">
        <f>SUMIF('Entrada CDRGL'!$E$8:$E$43,'Reliquidación CD RGL'!$B42,'Entrada CDRGL'!I$8:I$43)</f>
        <v>0</v>
      </c>
      <c r="G42" s="33">
        <f>SUMIF('Entrada CDRGL'!$E$8:$E$43,'Reliquidación CD RGL'!$B42,'Entrada CDRGL'!J$8:J$43)</f>
        <v>0</v>
      </c>
      <c r="H42" s="33">
        <v>0</v>
      </c>
      <c r="I42" s="33">
        <f t="shared" si="0"/>
        <v>0</v>
      </c>
      <c r="J42" s="33">
        <v>0</v>
      </c>
      <c r="K42" s="33">
        <f t="shared" si="2"/>
        <v>0</v>
      </c>
      <c r="L42" s="33">
        <f t="shared" si="3"/>
        <v>0</v>
      </c>
      <c r="M42" s="33">
        <f>IF(L42&lt;0,-L42,0)</f>
        <v>0</v>
      </c>
      <c r="N42" s="33">
        <f>IF(L42&gt;0,L42,0)</f>
        <v>0</v>
      </c>
      <c r="O42" s="33">
        <f t="shared" si="1"/>
        <v>0</v>
      </c>
      <c r="P42" s="33">
        <f>L42+O42</f>
        <v>0</v>
      </c>
      <c r="Q42" s="68"/>
    </row>
    <row r="43" spans="2:17" x14ac:dyDescent="0.2">
      <c r="B43" s="34" t="s">
        <v>51</v>
      </c>
      <c r="C43" s="35">
        <f>SUMIF('Entrada CDRGL'!$E$8:$E$43,'Reliquidación CD RGL'!$B43,'Entrada CDRGL'!F$8:F$43)</f>
        <v>30000.9</v>
      </c>
      <c r="D43" s="35">
        <f>SUMIF('Entrada CDRGL'!$E$8:$E$43,'Reliquidación CD RGL'!$B43,'Entrada CDRGL'!G$8:G$43)</f>
        <v>49706.2</v>
      </c>
      <c r="E43" s="35">
        <f>SUMIF('Entrada CDRGL'!$E$8:$E$43,'Reliquidación CD RGL'!$B43,'Entrada CDRGL'!H$8:H$43)</f>
        <v>0</v>
      </c>
      <c r="F43" s="35">
        <f>SUMIF('Entrada CDRGL'!$E$8:$E$43,'Reliquidación CD RGL'!$B43,'Entrada CDRGL'!I$8:I$43)</f>
        <v>0</v>
      </c>
      <c r="G43" s="35">
        <f>SUMIF('Entrada CDRGL'!$E$8:$E$43,'Reliquidación CD RGL'!$B43,'Entrada CDRGL'!J$8:J$43)</f>
        <v>-1883728.176607826</v>
      </c>
      <c r="H43" s="35">
        <v>0</v>
      </c>
      <c r="I43" s="35">
        <f t="shared" si="0"/>
        <v>0</v>
      </c>
      <c r="J43" s="35">
        <v>0</v>
      </c>
      <c r="K43" s="35">
        <f t="shared" si="2"/>
        <v>0</v>
      </c>
      <c r="L43" s="35">
        <f t="shared" si="3"/>
        <v>-1883728.176607826</v>
      </c>
      <c r="M43" s="35">
        <f t="shared" si="4"/>
        <v>1883728.176607826</v>
      </c>
      <c r="N43" s="35">
        <f t="shared" si="6"/>
        <v>0</v>
      </c>
      <c r="O43" s="35">
        <f>IF(OR($M$44=0,$N$44=0),0,((M43/$M$44-N43/$N$44)*$N$49))</f>
        <v>1883728.176607826</v>
      </c>
      <c r="P43" s="35">
        <f t="shared" si="5"/>
        <v>0</v>
      </c>
      <c r="Q43" s="68"/>
    </row>
    <row r="44" spans="2:17" x14ac:dyDescent="0.2">
      <c r="B44" s="36" t="s">
        <v>66</v>
      </c>
      <c r="C44" s="13">
        <f t="shared" ref="C44:O44" si="7">SUM(C9:C43)</f>
        <v>418782840.21509999</v>
      </c>
      <c r="D44" s="13">
        <f t="shared" si="7"/>
        <v>1652358746.58022</v>
      </c>
      <c r="E44" s="13">
        <f t="shared" si="7"/>
        <v>12864231.053000001</v>
      </c>
      <c r="F44" s="13">
        <f t="shared" si="7"/>
        <v>4578213.0927999998</v>
      </c>
      <c r="G44" s="13">
        <f t="shared" si="7"/>
        <v>204409820.59113753</v>
      </c>
      <c r="H44" s="13">
        <f>SUM(H9:H43)</f>
        <v>205133589.3775872</v>
      </c>
      <c r="I44" s="13">
        <f>SUM(I9:I43)</f>
        <v>207135084.12758851</v>
      </c>
      <c r="J44" s="13">
        <f t="shared" ref="J44:K44" si="8">SUM(J9:J43)</f>
        <v>0</v>
      </c>
      <c r="K44" s="13">
        <f t="shared" si="8"/>
        <v>0</v>
      </c>
      <c r="L44" s="13">
        <f>SUM(L9:L43)</f>
        <v>411544904.71872604</v>
      </c>
      <c r="M44" s="13">
        <f t="shared" si="7"/>
        <v>1111786394.9798357</v>
      </c>
      <c r="N44" s="13">
        <f t="shared" si="7"/>
        <v>1523331299.6985619</v>
      </c>
      <c r="O44" s="13">
        <f t="shared" si="7"/>
        <v>1.5762634575366974E-7</v>
      </c>
      <c r="P44" s="13">
        <f>SUM(P9:P43)</f>
        <v>411544904.71872622</v>
      </c>
    </row>
    <row r="45" spans="2:17" x14ac:dyDescent="0.2">
      <c r="B45" s="40"/>
      <c r="C45"/>
      <c r="D45"/>
      <c r="E45"/>
      <c r="F45"/>
      <c r="G45"/>
      <c r="H45"/>
      <c r="I45"/>
      <c r="J45"/>
      <c r="K45"/>
      <c r="L45"/>
      <c r="M45" s="41"/>
      <c r="N45" s="4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48"/>
      <c r="I47" s="14"/>
      <c r="J47" s="14"/>
      <c r="K47" s="14"/>
      <c r="L47" s="14"/>
      <c r="M47" s="4" t="s">
        <v>91</v>
      </c>
      <c r="N47" s="43">
        <f>N44</f>
        <v>1523331299.6985619</v>
      </c>
      <c r="O47"/>
    </row>
    <row r="48" spans="2:17" x14ac:dyDescent="0.2">
      <c r="B48"/>
      <c r="C48"/>
      <c r="H48" s="42"/>
      <c r="I48" s="14"/>
      <c r="J48" s="14"/>
      <c r="K48" s="14"/>
      <c r="L48" s="14"/>
      <c r="M48" s="4" t="s">
        <v>92</v>
      </c>
      <c r="N48" s="43">
        <f>M44</f>
        <v>1111786394.9798357</v>
      </c>
      <c r="O48"/>
    </row>
    <row r="49" spans="2:16" x14ac:dyDescent="0.2">
      <c r="B49"/>
      <c r="C49"/>
      <c r="H49" s="42"/>
      <c r="I49"/>
      <c r="J49"/>
      <c r="K49"/>
      <c r="L49"/>
      <c r="M49" s="4" t="s">
        <v>69</v>
      </c>
      <c r="N49" s="43">
        <f>+IF(N48&lt;N47,N48,N47)</f>
        <v>1111786394.9798357</v>
      </c>
      <c r="O49"/>
      <c r="P49" s="44"/>
    </row>
    <row r="50" spans="2:16" x14ac:dyDescent="0.2">
      <c r="M50" s="14"/>
      <c r="N50"/>
    </row>
    <row r="51" spans="2:16" x14ac:dyDescent="0.2">
      <c r="G51" s="44"/>
      <c r="H51" s="44"/>
    </row>
    <row r="52" spans="2:16" x14ac:dyDescent="0.2">
      <c r="H52" s="8"/>
    </row>
  </sheetData>
  <dataConsolidate/>
  <mergeCells count="15">
    <mergeCell ref="G6:G7"/>
    <mergeCell ref="B6:B8"/>
    <mergeCell ref="C6:C7"/>
    <mergeCell ref="D6:D7"/>
    <mergeCell ref="E6:E7"/>
    <mergeCell ref="F6:F7"/>
    <mergeCell ref="N6:N7"/>
    <mergeCell ref="O6:O7"/>
    <mergeCell ref="P6:P7"/>
    <mergeCell ref="H6:H7"/>
    <mergeCell ref="I6:I7"/>
    <mergeCell ref="J6:J7"/>
    <mergeCell ref="K6:K7"/>
    <mergeCell ref="L6:L7"/>
    <mergeCell ref="M6:M7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6B7E-5737-4F4C-A9DA-BA0D88BC9321}">
  <sheetPr codeName="Hoja2">
    <tabColor theme="9" tint="0.59999389629810485"/>
  </sheetPr>
  <dimension ref="A2:S82"/>
  <sheetViews>
    <sheetView zoomScale="70" zoomScaleNormal="70" workbookViewId="0"/>
  </sheetViews>
  <sheetFormatPr baseColWidth="10" defaultColWidth="11.42578125" defaultRowHeight="12.75" x14ac:dyDescent="0.2"/>
  <cols>
    <col min="1" max="1" width="9.140625" style="69" customWidth="1"/>
    <col min="2" max="2" width="28" style="69" customWidth="1"/>
    <col min="3" max="3" width="17" style="69" customWidth="1"/>
    <col min="4" max="4" width="18.7109375" style="69" customWidth="1"/>
    <col min="5" max="5" width="20" style="69" customWidth="1"/>
    <col min="6" max="6" width="18.140625" style="69" customWidth="1"/>
    <col min="7" max="7" width="14.5703125" style="69" customWidth="1"/>
    <col min="8" max="8" width="21.42578125" style="69" customWidth="1"/>
    <col min="9" max="9" width="17.42578125" style="69" customWidth="1"/>
    <col min="10" max="11" width="19.42578125" style="69" customWidth="1"/>
    <col min="12" max="12" width="15.42578125" style="69" bestFit="1" customWidth="1"/>
    <col min="13" max="13" width="15.140625" style="69" customWidth="1"/>
    <col min="14" max="14" width="15.28515625" style="69" bestFit="1" customWidth="1"/>
    <col min="15" max="15" width="14" style="69" bestFit="1" customWidth="1"/>
    <col min="16" max="20" width="10.85546875" style="69" customWidth="1"/>
    <col min="21" max="21" width="13.28515625" style="69" bestFit="1" customWidth="1"/>
    <col min="22" max="22" width="15.85546875" style="69" bestFit="1" customWidth="1"/>
    <col min="23" max="23" width="17" style="69" bestFit="1" customWidth="1"/>
    <col min="24" max="24" width="17.85546875" style="69" customWidth="1"/>
    <col min="25" max="16384" width="11.42578125" style="69"/>
  </cols>
  <sheetData>
    <row r="2" spans="1:9" x14ac:dyDescent="0.2">
      <c r="B2" s="70" t="s">
        <v>93</v>
      </c>
      <c r="C2" s="70"/>
      <c r="D2" s="70"/>
      <c r="E2" s="70"/>
      <c r="F2" s="70"/>
      <c r="G2" s="70"/>
      <c r="I2" s="40" t="s">
        <v>94</v>
      </c>
    </row>
    <row r="3" spans="1:9" x14ac:dyDescent="0.2">
      <c r="B3" s="71">
        <f>FechaFacturacion</f>
        <v>45566</v>
      </c>
      <c r="C3" s="72"/>
      <c r="D3" s="72"/>
      <c r="E3" s="72"/>
      <c r="F3" s="72"/>
      <c r="G3" s="72"/>
    </row>
    <row r="6" spans="1:9" ht="12.75" customHeight="1" x14ac:dyDescent="0.2">
      <c r="B6" s="121" t="s">
        <v>6</v>
      </c>
      <c r="C6" s="122" t="s">
        <v>78</v>
      </c>
      <c r="E6" s="121" t="s">
        <v>6</v>
      </c>
      <c r="F6" s="122" t="s">
        <v>80</v>
      </c>
      <c r="H6" s="121" t="s">
        <v>81</v>
      </c>
      <c r="I6" s="124" cm="1">
        <f t="array" ref="I6">SUMPRODUCT(($F$8:$F$32&gt;0)*($F$8:$F$32))</f>
        <v>888700622.50351119</v>
      </c>
    </row>
    <row r="7" spans="1:9" ht="27" customHeight="1" x14ac:dyDescent="0.2">
      <c r="B7" s="121"/>
      <c r="C7" s="123"/>
      <c r="E7" s="121"/>
      <c r="F7" s="123"/>
      <c r="H7" s="121"/>
      <c r="I7" s="124"/>
    </row>
    <row r="8" spans="1:9" x14ac:dyDescent="0.2">
      <c r="B8" s="73" t="s">
        <v>14</v>
      </c>
      <c r="C8" s="74">
        <f>'Reliquidación CD RGL'!O9</f>
        <v>637346.08350383746</v>
      </c>
      <c r="D8" s="75"/>
      <c r="E8" s="73" t="s">
        <v>14</v>
      </c>
      <c r="F8" s="76">
        <f>VLOOKUP(E8,$B$8:$C$42,2,0)</f>
        <v>637346.08350383746</v>
      </c>
      <c r="G8" s="77"/>
      <c r="I8" s="40"/>
    </row>
    <row r="9" spans="1:9" x14ac:dyDescent="0.2">
      <c r="B9" s="78" t="s">
        <v>15</v>
      </c>
      <c r="C9" s="76">
        <f>'Reliquidación CD RGL'!O10</f>
        <v>23023966.941246811</v>
      </c>
      <c r="D9" s="75"/>
      <c r="E9" s="78" t="s">
        <v>15</v>
      </c>
      <c r="F9" s="76">
        <f>VLOOKUP(E9,$B$8:$C$42,2,0)</f>
        <v>23023966.941246811</v>
      </c>
      <c r="G9" s="77"/>
      <c r="I9" s="40"/>
    </row>
    <row r="10" spans="1:9" x14ac:dyDescent="0.2">
      <c r="B10" s="78" t="s">
        <v>16</v>
      </c>
      <c r="C10" s="76">
        <f>'Reliquidación CD RGL'!O11</f>
        <v>-10498312.601194197</v>
      </c>
      <c r="D10" s="75"/>
      <c r="E10" s="78" t="s">
        <v>16</v>
      </c>
      <c r="F10" s="76">
        <f>VLOOKUP(E10,$B$8:$C$42,2,0)</f>
        <v>-10498312.601194197</v>
      </c>
      <c r="G10" s="77"/>
      <c r="I10" s="40"/>
    </row>
    <row r="11" spans="1:9" x14ac:dyDescent="0.2">
      <c r="B11" s="78" t="s">
        <v>17</v>
      </c>
      <c r="C11" s="76">
        <f>'Reliquidación CD RGL'!O12</f>
        <v>-2424262.67154318</v>
      </c>
      <c r="D11" s="75"/>
      <c r="E11" s="78" t="s">
        <v>17</v>
      </c>
      <c r="F11" s="76">
        <f>VLOOKUP(E11,$B$8:$C$42,2,0)</f>
        <v>-2424262.67154318</v>
      </c>
      <c r="G11" s="77"/>
      <c r="H11" s="40"/>
      <c r="I11" s="40"/>
    </row>
    <row r="12" spans="1:9" x14ac:dyDescent="0.2">
      <c r="B12" s="78" t="s">
        <v>18</v>
      </c>
      <c r="C12" s="76">
        <f>'Reliquidación CD RGL'!O13</f>
        <v>-161291830.84731865</v>
      </c>
      <c r="D12" s="75"/>
      <c r="E12" s="78" t="s">
        <v>82</v>
      </c>
      <c r="F12" s="76">
        <f>C12+C13+C14+C15+C16+C18+C19+C20+C37+C38+C39</f>
        <v>291871707.75637507</v>
      </c>
      <c r="G12" s="77"/>
      <c r="H12" s="40"/>
      <c r="I12" s="40"/>
    </row>
    <row r="13" spans="1:9" x14ac:dyDescent="0.2">
      <c r="B13" s="78" t="s">
        <v>20</v>
      </c>
      <c r="C13" s="76">
        <f>'Reliquidación CD RGL'!O14</f>
        <v>18924039.238466561</v>
      </c>
      <c r="D13" s="75"/>
      <c r="E13" s="78" t="s">
        <v>83</v>
      </c>
      <c r="F13" s="76">
        <f>C17</f>
        <v>-810049765.41860533</v>
      </c>
      <c r="G13" s="77"/>
      <c r="H13" s="40"/>
      <c r="I13" s="40"/>
    </row>
    <row r="14" spans="1:9" x14ac:dyDescent="0.2">
      <c r="B14" s="78" t="s">
        <v>21</v>
      </c>
      <c r="C14" s="76">
        <f>'Reliquidación CD RGL'!O15</f>
        <v>178184787.1283198</v>
      </c>
      <c r="D14" s="75"/>
      <c r="E14" s="78" t="s">
        <v>29</v>
      </c>
      <c r="F14" s="76">
        <f t="shared" ref="F14:F32" si="0">VLOOKUP(E14,$B$8:$C$42,2,0)</f>
        <v>5126347.5559415212</v>
      </c>
      <c r="G14" s="77"/>
      <c r="H14" s="40"/>
      <c r="I14" s="40"/>
    </row>
    <row r="15" spans="1:9" x14ac:dyDescent="0.2">
      <c r="B15" s="78" t="s">
        <v>22</v>
      </c>
      <c r="C15" s="76">
        <f>'Reliquidación CD RGL'!O16</f>
        <v>0</v>
      </c>
      <c r="D15" s="75"/>
      <c r="E15" s="78" t="s">
        <v>30</v>
      </c>
      <c r="F15" s="76">
        <f t="shared" si="0"/>
        <v>-16694625.605792968</v>
      </c>
      <c r="G15" s="77"/>
      <c r="H15" s="40"/>
      <c r="I15" s="40"/>
    </row>
    <row r="16" spans="1:9" x14ac:dyDescent="0.2">
      <c r="A16" s="40"/>
      <c r="B16" s="78" t="s">
        <v>23</v>
      </c>
      <c r="C16" s="76">
        <f>'Reliquidación CD RGL'!O17</f>
        <v>0</v>
      </c>
      <c r="D16" s="75"/>
      <c r="E16" s="78" t="s">
        <v>31</v>
      </c>
      <c r="F16" s="76">
        <f t="shared" si="0"/>
        <v>-18493561.494357795</v>
      </c>
      <c r="G16" s="77"/>
      <c r="H16" s="40"/>
      <c r="I16" s="40"/>
    </row>
    <row r="17" spans="1:9" x14ac:dyDescent="0.2">
      <c r="B17" s="78" t="s">
        <v>24</v>
      </c>
      <c r="C17" s="76">
        <f>'Reliquidación CD RGL'!O18</f>
        <v>-810049765.41860533</v>
      </c>
      <c r="D17" s="75"/>
      <c r="E17" s="78" t="s">
        <v>32</v>
      </c>
      <c r="F17" s="76">
        <f t="shared" si="0"/>
        <v>5475366.0012249406</v>
      </c>
      <c r="G17" s="77"/>
      <c r="H17" s="40"/>
      <c r="I17" s="40"/>
    </row>
    <row r="18" spans="1:9" x14ac:dyDescent="0.2">
      <c r="B18" s="78" t="s">
        <v>26</v>
      </c>
      <c r="C18" s="76">
        <f>'Reliquidación CD RGL'!O19</f>
        <v>54816601.429754511</v>
      </c>
      <c r="D18" s="75"/>
      <c r="E18" s="78" t="s">
        <v>33</v>
      </c>
      <c r="F18" s="76">
        <f t="shared" si="0"/>
        <v>-3564051.09734069</v>
      </c>
      <c r="G18" s="77"/>
      <c r="H18" s="40"/>
      <c r="I18" s="40"/>
    </row>
    <row r="19" spans="1:9" x14ac:dyDescent="0.2">
      <c r="B19" s="78" t="s">
        <v>27</v>
      </c>
      <c r="C19" s="76">
        <f>'Reliquidación CD RGL'!O20</f>
        <v>-33876446.839515053</v>
      </c>
      <c r="D19" s="75"/>
      <c r="E19" s="78" t="s">
        <v>34</v>
      </c>
      <c r="F19" s="76">
        <f t="shared" si="0"/>
        <v>-153887.47504346556</v>
      </c>
      <c r="G19" s="77"/>
      <c r="H19" s="40"/>
      <c r="I19" s="40"/>
    </row>
    <row r="20" spans="1:9" x14ac:dyDescent="0.2">
      <c r="B20" s="78" t="s">
        <v>28</v>
      </c>
      <c r="C20" s="76">
        <f>'Reliquidación CD RGL'!O21</f>
        <v>0</v>
      </c>
      <c r="D20" s="75"/>
      <c r="E20" s="78" t="s">
        <v>35</v>
      </c>
      <c r="F20" s="76">
        <f t="shared" si="0"/>
        <v>63734941.420793958</v>
      </c>
      <c r="G20" s="77"/>
      <c r="H20" s="40"/>
      <c r="I20" s="40"/>
    </row>
    <row r="21" spans="1:9" x14ac:dyDescent="0.2">
      <c r="B21" s="78" t="s">
        <v>29</v>
      </c>
      <c r="C21" s="76">
        <f>'Reliquidación CD RGL'!O22</f>
        <v>5126347.5559415212</v>
      </c>
      <c r="D21" s="75"/>
      <c r="E21" s="78" t="s">
        <v>36</v>
      </c>
      <c r="F21" s="76">
        <f t="shared" si="0"/>
        <v>21317005.939978499</v>
      </c>
      <c r="G21" s="77"/>
      <c r="H21" s="40"/>
      <c r="I21" s="40"/>
    </row>
    <row r="22" spans="1:9" x14ac:dyDescent="0.2">
      <c r="B22" s="78" t="s">
        <v>30</v>
      </c>
      <c r="C22" s="76">
        <f>'Reliquidación CD RGL'!O23</f>
        <v>-16694625.605792968</v>
      </c>
      <c r="D22" s="75"/>
      <c r="E22" s="78" t="s">
        <v>37</v>
      </c>
      <c r="F22" s="76">
        <f t="shared" si="0"/>
        <v>203176079.86736169</v>
      </c>
      <c r="G22" s="77"/>
      <c r="H22" s="40"/>
      <c r="I22" s="40"/>
    </row>
    <row r="23" spans="1:9" x14ac:dyDescent="0.2">
      <c r="B23" s="78" t="s">
        <v>31</v>
      </c>
      <c r="C23" s="76">
        <f>'Reliquidación CD RGL'!O24</f>
        <v>-18493561.494357795</v>
      </c>
      <c r="D23" s="75"/>
      <c r="E23" s="78" t="s">
        <v>38</v>
      </c>
      <c r="F23" s="76">
        <f t="shared" si="0"/>
        <v>-3093908.3216056153</v>
      </c>
      <c r="G23" s="77"/>
      <c r="H23" s="40"/>
      <c r="I23" s="40"/>
    </row>
    <row r="24" spans="1:9" x14ac:dyDescent="0.2">
      <c r="B24" s="78" t="s">
        <v>32</v>
      </c>
      <c r="C24" s="76">
        <f>'Reliquidación CD RGL'!O25</f>
        <v>5475366.0012249406</v>
      </c>
      <c r="D24" s="75"/>
      <c r="E24" s="78" t="s">
        <v>39</v>
      </c>
      <c r="F24" s="76">
        <f t="shared" si="0"/>
        <v>222667798.30997899</v>
      </c>
      <c r="G24" s="77"/>
      <c r="H24" s="40"/>
      <c r="I24" s="40"/>
    </row>
    <row r="25" spans="1:9" x14ac:dyDescent="0.2">
      <c r="B25" s="78" t="s">
        <v>33</v>
      </c>
      <c r="C25" s="76">
        <f>'Reliquidación CD RGL'!O26</f>
        <v>-3564051.09734069</v>
      </c>
      <c r="D25" s="75"/>
      <c r="E25" s="78" t="s">
        <v>40</v>
      </c>
      <c r="F25" s="76">
        <f t="shared" si="0"/>
        <v>-4053979.9770793812</v>
      </c>
      <c r="G25" s="77"/>
      <c r="H25" s="40"/>
      <c r="I25" s="40"/>
    </row>
    <row r="26" spans="1:9" x14ac:dyDescent="0.2">
      <c r="B26" s="78" t="s">
        <v>34</v>
      </c>
      <c r="C26" s="76">
        <f>'Reliquidación CD RGL'!O27</f>
        <v>-153887.47504346556</v>
      </c>
      <c r="D26" s="75"/>
      <c r="E26" s="78" t="s">
        <v>41</v>
      </c>
      <c r="F26" s="76">
        <f t="shared" si="0"/>
        <v>-13394102.925495824</v>
      </c>
      <c r="G26" s="77"/>
      <c r="H26" s="40"/>
      <c r="I26" s="40"/>
    </row>
    <row r="27" spans="1:9" x14ac:dyDescent="0.2">
      <c r="B27" s="78" t="s">
        <v>35</v>
      </c>
      <c r="C27" s="76">
        <f>'Reliquidación CD RGL'!O28</f>
        <v>63734941.420793958</v>
      </c>
      <c r="D27" s="75"/>
      <c r="E27" s="78" t="s">
        <v>42</v>
      </c>
      <c r="F27" s="76">
        <f t="shared" si="0"/>
        <v>39204804.746578217</v>
      </c>
      <c r="G27" s="77"/>
      <c r="H27" s="40"/>
      <c r="I27" s="40"/>
    </row>
    <row r="28" spans="1:9" x14ac:dyDescent="0.2">
      <c r="B28" s="78" t="s">
        <v>36</v>
      </c>
      <c r="C28" s="76">
        <f>'Reliquidación CD RGL'!O29</f>
        <v>21317005.939978499</v>
      </c>
      <c r="D28" s="75"/>
      <c r="E28" s="78" t="s">
        <v>43</v>
      </c>
      <c r="F28" s="76">
        <f t="shared" si="0"/>
        <v>-6280164.9154526396</v>
      </c>
      <c r="G28" s="77"/>
      <c r="H28" s="40"/>
      <c r="I28" s="40"/>
    </row>
    <row r="29" spans="1:9" x14ac:dyDescent="0.2">
      <c r="A29" s="40"/>
      <c r="B29" s="78" t="s">
        <v>37</v>
      </c>
      <c r="C29" s="76">
        <f>'Reliquidación CD RGL'!O30</f>
        <v>203176079.86736169</v>
      </c>
      <c r="D29" s="75"/>
      <c r="E29" s="78" t="s">
        <v>45</v>
      </c>
      <c r="F29" s="76">
        <f t="shared" si="0"/>
        <v>10581529.703919919</v>
      </c>
      <c r="G29" s="77"/>
      <c r="H29" s="40"/>
      <c r="I29" s="40"/>
    </row>
    <row r="30" spans="1:9" x14ac:dyDescent="0.2">
      <c r="B30" s="78" t="s">
        <v>38</v>
      </c>
      <c r="C30" s="76">
        <f>'Reliquidación CD RGL'!O31</f>
        <v>-3093908.3216056153</v>
      </c>
      <c r="D30" s="75"/>
      <c r="E30" s="78" t="s">
        <v>49</v>
      </c>
      <c r="F30" s="76">
        <f t="shared" si="0"/>
        <v>0</v>
      </c>
      <c r="G30" s="77"/>
      <c r="H30" s="40"/>
      <c r="I30" s="40"/>
    </row>
    <row r="31" spans="1:9" x14ac:dyDescent="0.2">
      <c r="A31" s="40"/>
      <c r="B31" s="78" t="s">
        <v>39</v>
      </c>
      <c r="C31" s="76">
        <f>'Reliquidación CD RGL'!O32</f>
        <v>222667798.30997899</v>
      </c>
      <c r="D31" s="75"/>
      <c r="E31" s="32" t="s">
        <v>50</v>
      </c>
      <c r="F31" s="76">
        <f t="shared" si="0"/>
        <v>0</v>
      </c>
      <c r="G31" s="77"/>
      <c r="H31" s="40"/>
      <c r="I31" s="40"/>
    </row>
    <row r="32" spans="1:9" x14ac:dyDescent="0.2">
      <c r="A32" s="40"/>
      <c r="B32" s="78" t="s">
        <v>40</v>
      </c>
      <c r="C32" s="76">
        <f>'Reliquidación CD RGL'!O33</f>
        <v>-4053979.9770793812</v>
      </c>
      <c r="D32" s="75"/>
      <c r="E32" s="79" t="s">
        <v>51</v>
      </c>
      <c r="F32" s="76">
        <f t="shared" si="0"/>
        <v>1883728.176607826</v>
      </c>
      <c r="G32" s="75"/>
      <c r="H32" s="40"/>
      <c r="I32" s="40"/>
    </row>
    <row r="33" spans="1:19" x14ac:dyDescent="0.2">
      <c r="A33" s="40"/>
      <c r="B33" s="78" t="s">
        <v>41</v>
      </c>
      <c r="C33" s="76">
        <f>'Reliquidación CD RGL'!O34</f>
        <v>-13394102.925495824</v>
      </c>
      <c r="D33" s="75"/>
      <c r="E33" s="80" t="s">
        <v>66</v>
      </c>
      <c r="F33" s="81">
        <f>SUM(F8:F32)</f>
        <v>2.0046718418598175E-7</v>
      </c>
      <c r="G33" s="82"/>
      <c r="H33" s="40"/>
      <c r="I33" s="40"/>
    </row>
    <row r="34" spans="1:19" x14ac:dyDescent="0.2">
      <c r="B34" s="78" t="s">
        <v>42</v>
      </c>
      <c r="C34" s="76">
        <f>'Reliquidación CD RGL'!O35</f>
        <v>39204804.746578217</v>
      </c>
      <c r="D34" s="75"/>
      <c r="E34" s="83"/>
      <c r="F34" s="84"/>
      <c r="G34" s="82"/>
      <c r="H34" s="40"/>
      <c r="I34" s="40"/>
    </row>
    <row r="35" spans="1:19" x14ac:dyDescent="0.2">
      <c r="A35" s="40"/>
      <c r="B35" s="78" t="s">
        <v>43</v>
      </c>
      <c r="C35" s="76">
        <f>'Reliquidación CD RGL'!O36</f>
        <v>-6280164.9154526396</v>
      </c>
      <c r="D35" s="75"/>
      <c r="E35" s="83"/>
      <c r="F35" s="84"/>
      <c r="G35" s="82"/>
      <c r="H35" s="40"/>
      <c r="I35" s="40"/>
    </row>
    <row r="36" spans="1:19" x14ac:dyDescent="0.2">
      <c r="A36" s="40"/>
      <c r="B36" s="78" t="s">
        <v>45</v>
      </c>
      <c r="C36" s="76">
        <f>'Reliquidación CD RGL'!O37</f>
        <v>10581529.703919919</v>
      </c>
      <c r="D36" s="75"/>
      <c r="E36" s="83"/>
      <c r="F36" s="84"/>
      <c r="G36" s="82"/>
      <c r="H36" s="40"/>
      <c r="I36" s="40"/>
    </row>
    <row r="37" spans="1:19" x14ac:dyDescent="0.2">
      <c r="B37" s="78" t="s">
        <v>46</v>
      </c>
      <c r="C37" s="76">
        <f>'Reliquidación CD RGL'!O38</f>
        <v>-27917494.789491035</v>
      </c>
      <c r="D37" s="75"/>
      <c r="E37" s="83"/>
      <c r="F37" s="84"/>
      <c r="G37" s="82"/>
      <c r="H37" s="40"/>
      <c r="I37" s="40"/>
    </row>
    <row r="38" spans="1:19" x14ac:dyDescent="0.2">
      <c r="B38" s="78" t="s">
        <v>47</v>
      </c>
      <c r="C38" s="76">
        <f>'Reliquidación CD RGL'!O39</f>
        <v>91949096.725987613</v>
      </c>
      <c r="D38" s="75"/>
      <c r="E38" s="83"/>
      <c r="F38" s="84"/>
      <c r="G38" s="82"/>
      <c r="H38" s="40"/>
      <c r="I38" s="40"/>
    </row>
    <row r="39" spans="1:19" x14ac:dyDescent="0.2">
      <c r="B39" s="78" t="s">
        <v>48</v>
      </c>
      <c r="C39" s="76">
        <f>'Reliquidación CD RGL'!O40</f>
        <v>171082955.71017131</v>
      </c>
      <c r="D39" s="75"/>
      <c r="E39" s="83"/>
      <c r="F39" s="84"/>
      <c r="G39" s="82"/>
      <c r="H39" s="40"/>
      <c r="I39" s="40"/>
    </row>
    <row r="40" spans="1:19" x14ac:dyDescent="0.2">
      <c r="B40" s="78" t="s">
        <v>49</v>
      </c>
      <c r="C40" s="76">
        <f>'Reliquidación CD RGL'!O41</f>
        <v>0</v>
      </c>
      <c r="D40" s="75"/>
      <c r="E40" s="83"/>
      <c r="F40" s="84"/>
      <c r="G40" s="82"/>
      <c r="H40" s="40"/>
      <c r="I40" s="40"/>
      <c r="J40" s="40"/>
      <c r="K40" s="40"/>
    </row>
    <row r="41" spans="1:19" x14ac:dyDescent="0.2">
      <c r="B41" s="32" t="s">
        <v>50</v>
      </c>
      <c r="C41" s="76">
        <f>'Reliquidación CD RGL'!O42</f>
        <v>0</v>
      </c>
      <c r="D41" s="75"/>
      <c r="E41" s="83"/>
      <c r="F41" s="84"/>
      <c r="G41" s="82"/>
      <c r="H41" s="40"/>
      <c r="I41" s="40"/>
      <c r="J41" s="40"/>
      <c r="K41" s="40"/>
    </row>
    <row r="42" spans="1:19" x14ac:dyDescent="0.2">
      <c r="B42" s="79" t="s">
        <v>51</v>
      </c>
      <c r="C42" s="85">
        <f>'Reliquidación CD RGL'!O43</f>
        <v>1883728.176607826</v>
      </c>
      <c r="D42" s="75"/>
      <c r="E42" s="83"/>
      <c r="F42" s="84"/>
      <c r="G42" s="82"/>
      <c r="H42" s="40"/>
      <c r="I42" s="40"/>
    </row>
    <row r="43" spans="1:19" x14ac:dyDescent="0.2">
      <c r="B43" s="80" t="s">
        <v>66</v>
      </c>
      <c r="C43" s="81">
        <f>SUM(C8:C42)</f>
        <v>1.5762634575366974E-7</v>
      </c>
      <c r="D43" s="86"/>
      <c r="E43" s="40"/>
      <c r="G43" s="82"/>
      <c r="H43" s="40"/>
      <c r="I43" s="40"/>
    </row>
    <row r="44" spans="1:19" x14ac:dyDescent="0.2">
      <c r="B44" s="83"/>
      <c r="C44" s="87"/>
      <c r="E44" s="40"/>
      <c r="G44" s="40"/>
      <c r="H44" s="40"/>
    </row>
    <row r="45" spans="1:19" x14ac:dyDescent="0.2">
      <c r="B45" s="83"/>
      <c r="C45" s="87"/>
      <c r="D45" s="87"/>
      <c r="G45" s="40"/>
    </row>
    <row r="46" spans="1:19" x14ac:dyDescent="0.2">
      <c r="B46" s="40"/>
      <c r="C46" s="40"/>
      <c r="D46" s="40"/>
      <c r="E46" s="84"/>
      <c r="F46" s="40"/>
      <c r="G46" s="40"/>
      <c r="H46" s="40"/>
      <c r="I46" s="40"/>
      <c r="J46" s="40"/>
      <c r="K46" s="40"/>
      <c r="L46" s="40"/>
      <c r="M46" s="40"/>
      <c r="N46" s="40"/>
    </row>
    <row r="47" spans="1:19" x14ac:dyDescent="0.2">
      <c r="B47" s="88" t="s">
        <v>84</v>
      </c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40"/>
      <c r="Q47" s="40"/>
      <c r="R47" s="40"/>
      <c r="S47" s="40"/>
    </row>
    <row r="48" spans="1:19" x14ac:dyDescent="0.2">
      <c r="B48" s="40"/>
      <c r="C48" s="40"/>
      <c r="D48" s="40"/>
      <c r="E48" s="84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2:15" x14ac:dyDescent="0.2">
      <c r="B49" s="114" t="s">
        <v>85</v>
      </c>
      <c r="C49" s="116" t="s">
        <v>86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8"/>
      <c r="O49" s="119" t="s">
        <v>52</v>
      </c>
    </row>
    <row r="50" spans="2:15" x14ac:dyDescent="0.2">
      <c r="B50" s="115"/>
      <c r="C50" s="38" t="s">
        <v>14</v>
      </c>
      <c r="D50" s="39" t="s">
        <v>15</v>
      </c>
      <c r="E50" s="38" t="s">
        <v>82</v>
      </c>
      <c r="F50" s="39" t="s">
        <v>29</v>
      </c>
      <c r="G50" s="38" t="s">
        <v>32</v>
      </c>
      <c r="H50" s="38" t="s">
        <v>35</v>
      </c>
      <c r="I50" s="38" t="s">
        <v>36</v>
      </c>
      <c r="J50" s="39" t="s">
        <v>37</v>
      </c>
      <c r="K50" s="39" t="s">
        <v>39</v>
      </c>
      <c r="L50" s="61" t="s">
        <v>42</v>
      </c>
      <c r="M50" s="39" t="s">
        <v>45</v>
      </c>
      <c r="N50" s="39" t="s">
        <v>51</v>
      </c>
      <c r="O50" s="120"/>
    </row>
    <row r="51" spans="2:15" ht="12" customHeight="1" x14ac:dyDescent="0.2">
      <c r="B51" s="61" t="s">
        <v>16</v>
      </c>
      <c r="C51" s="89">
        <f t="shared" ref="C51:N63" si="1">(VLOOKUP($B51,$E$8:$F$32,2,0)*(-(VLOOKUP(C$50,$E$8:$F$32,2,0))))/SUMPRODUCT(($F$8:$F$32&gt;0)*($F$8:$F$32))</f>
        <v>7529.0353695500762</v>
      </c>
      <c r="D51" s="89">
        <f t="shared" si="1"/>
        <v>271984.50878525747</v>
      </c>
      <c r="E51" s="89">
        <f t="shared" si="1"/>
        <v>3447910.747309864</v>
      </c>
      <c r="F51" s="89">
        <f t="shared" si="1"/>
        <v>60558.075218889942</v>
      </c>
      <c r="G51" s="89">
        <f t="shared" si="1"/>
        <v>64681.066302035782</v>
      </c>
      <c r="H51" s="89">
        <f t="shared" si="1"/>
        <v>752907.47155029885</v>
      </c>
      <c r="I51" s="89">
        <f t="shared" si="1"/>
        <v>251820.00148596009</v>
      </c>
      <c r="J51" s="89">
        <f t="shared" si="1"/>
        <v>2400140.0983876712</v>
      </c>
      <c r="K51" s="89">
        <f t="shared" si="1"/>
        <v>2630397.7894069548</v>
      </c>
      <c r="L51" s="89">
        <f t="shared" si="1"/>
        <v>463130.42353780288</v>
      </c>
      <c r="M51" s="89">
        <f t="shared" si="1"/>
        <v>125000.70756970161</v>
      </c>
      <c r="N51" s="89">
        <f t="shared" si="1"/>
        <v>22252.676270211992</v>
      </c>
      <c r="O51" s="90">
        <f>SUM(C51:N51)</f>
        <v>10498312.601194199</v>
      </c>
    </row>
    <row r="52" spans="2:15" x14ac:dyDescent="0.2">
      <c r="B52" s="60" t="s">
        <v>17</v>
      </c>
      <c r="C52" s="89">
        <f t="shared" si="1"/>
        <v>1738.5993437700008</v>
      </c>
      <c r="D52" s="89">
        <f t="shared" si="1"/>
        <v>62806.46394651122</v>
      </c>
      <c r="E52" s="89">
        <f t="shared" si="1"/>
        <v>796189.02932696498</v>
      </c>
      <c r="F52" s="89">
        <f t="shared" si="1"/>
        <v>13984.026461258098</v>
      </c>
      <c r="G52" s="89">
        <f t="shared" si="1"/>
        <v>14936.104548248844</v>
      </c>
      <c r="H52" s="89">
        <f t="shared" si="1"/>
        <v>173860.84295086851</v>
      </c>
      <c r="I52" s="89">
        <f t="shared" si="1"/>
        <v>58150.09066132384</v>
      </c>
      <c r="J52" s="89">
        <f t="shared" si="1"/>
        <v>554238.59700399241</v>
      </c>
      <c r="K52" s="89">
        <f t="shared" si="1"/>
        <v>607409.53469451959</v>
      </c>
      <c r="L52" s="89">
        <f t="shared" si="1"/>
        <v>106945.73885244798</v>
      </c>
      <c r="M52" s="89">
        <f t="shared" si="1"/>
        <v>28865.072015786809</v>
      </c>
      <c r="N52" s="89">
        <f t="shared" si="1"/>
        <v>5138.5717374879059</v>
      </c>
      <c r="O52" s="90">
        <f>SUM(C52:N52)</f>
        <v>2424262.67154318</v>
      </c>
    </row>
    <row r="53" spans="2:15" x14ac:dyDescent="0.2">
      <c r="B53" s="60" t="s">
        <v>83</v>
      </c>
      <c r="C53" s="89">
        <f t="shared" si="1"/>
        <v>580940.34409288445</v>
      </c>
      <c r="D53" s="89">
        <f t="shared" si="1"/>
        <v>20986323.793971483</v>
      </c>
      <c r="E53" s="89">
        <f t="shared" si="1"/>
        <v>266040781.80382419</v>
      </c>
      <c r="F53" s="89">
        <f t="shared" si="1"/>
        <v>4672660.8826340316</v>
      </c>
      <c r="G53" s="89">
        <f t="shared" si="1"/>
        <v>4990790.8609074336</v>
      </c>
      <c r="H53" s="89">
        <f t="shared" si="1"/>
        <v>58094338.002648033</v>
      </c>
      <c r="I53" s="89">
        <f t="shared" si="1"/>
        <v>19430430.477771357</v>
      </c>
      <c r="J53" s="89">
        <f t="shared" si="1"/>
        <v>185194802.01509356</v>
      </c>
      <c r="K53" s="89">
        <f t="shared" si="1"/>
        <v>202961484.68891522</v>
      </c>
      <c r="L53" s="89">
        <f t="shared" si="1"/>
        <v>35735141.941033617</v>
      </c>
      <c r="M53" s="89">
        <f t="shared" si="1"/>
        <v>9645054.180657411</v>
      </c>
      <c r="N53" s="89">
        <f t="shared" si="1"/>
        <v>1717016.4270561852</v>
      </c>
      <c r="O53" s="90">
        <f t="shared" ref="O53:O63" si="2">SUM(C53:N53)</f>
        <v>810049765.41860545</v>
      </c>
    </row>
    <row r="54" spans="2:15" x14ac:dyDescent="0.2">
      <c r="B54" s="60" t="s">
        <v>30</v>
      </c>
      <c r="C54" s="89">
        <f t="shared" si="1"/>
        <v>11972.821865974318</v>
      </c>
      <c r="D54" s="89">
        <f t="shared" si="1"/>
        <v>432515.17812766152</v>
      </c>
      <c r="E54" s="89">
        <f t="shared" si="1"/>
        <v>5482936.2808248168</v>
      </c>
      <c r="F54" s="89">
        <f t="shared" si="1"/>
        <v>96300.656266590362</v>
      </c>
      <c r="G54" s="89">
        <f t="shared" si="1"/>
        <v>102857.11873097849</v>
      </c>
      <c r="H54" s="89">
        <f t="shared" si="1"/>
        <v>1197288.4434691591</v>
      </c>
      <c r="I54" s="89">
        <f t="shared" si="1"/>
        <v>400449.17736400006</v>
      </c>
      <c r="J54" s="89">
        <f t="shared" si="1"/>
        <v>3816750.5451757372</v>
      </c>
      <c r="K54" s="89">
        <f t="shared" si="1"/>
        <v>4182910.9073642315</v>
      </c>
      <c r="L54" s="89">
        <f t="shared" si="1"/>
        <v>736479.21540614474</v>
      </c>
      <c r="M54" s="89">
        <f t="shared" si="1"/>
        <v>198778.61258370214</v>
      </c>
      <c r="N54" s="89">
        <f t="shared" si="1"/>
        <v>35386.64861397288</v>
      </c>
      <c r="O54" s="90">
        <f t="shared" si="2"/>
        <v>16694625.605792968</v>
      </c>
    </row>
    <row r="55" spans="2:15" x14ac:dyDescent="0.2">
      <c r="B55" s="60" t="s">
        <v>31</v>
      </c>
      <c r="C55" s="89">
        <f t="shared" si="1"/>
        <v>13262.957952321844</v>
      </c>
      <c r="D55" s="89">
        <f t="shared" si="1"/>
        <v>479121.01971136691</v>
      </c>
      <c r="E55" s="89">
        <f t="shared" si="1"/>
        <v>6073752.2166351611</v>
      </c>
      <c r="F55" s="89">
        <f t="shared" si="1"/>
        <v>106677.57101394485</v>
      </c>
      <c r="G55" s="89">
        <f t="shared" si="1"/>
        <v>113940.52764643957</v>
      </c>
      <c r="H55" s="89">
        <f t="shared" si="1"/>
        <v>1326302.7263155628</v>
      </c>
      <c r="I55" s="89">
        <f t="shared" si="1"/>
        <v>443599.73453830363</v>
      </c>
      <c r="J55" s="89">
        <f t="shared" si="1"/>
        <v>4228025.9876770349</v>
      </c>
      <c r="K55" s="89">
        <f t="shared" si="1"/>
        <v>4633642.102397183</v>
      </c>
      <c r="L55" s="89">
        <f t="shared" si="1"/>
        <v>815838.8202909918</v>
      </c>
      <c r="M55" s="89">
        <f t="shared" si="1"/>
        <v>220198.07945284015</v>
      </c>
      <c r="N55" s="89">
        <f t="shared" si="1"/>
        <v>39199.750726644364</v>
      </c>
      <c r="O55" s="90">
        <f t="shared" si="2"/>
        <v>18493561.494357787</v>
      </c>
    </row>
    <row r="56" spans="2:15" x14ac:dyDescent="0.2">
      <c r="B56" s="60" t="s">
        <v>33</v>
      </c>
      <c r="C56" s="89">
        <f t="shared" si="1"/>
        <v>2556.0171229526381</v>
      </c>
      <c r="D56" s="89">
        <f t="shared" si="1"/>
        <v>92335.47559685912</v>
      </c>
      <c r="E56" s="89">
        <f t="shared" si="1"/>
        <v>1170524.3070286021</v>
      </c>
      <c r="F56" s="89">
        <f t="shared" si="1"/>
        <v>20558.739545645989</v>
      </c>
      <c r="G56" s="89">
        <f t="shared" si="1"/>
        <v>21958.445522446516</v>
      </c>
      <c r="H56" s="89">
        <f t="shared" si="1"/>
        <v>255603.0480431309</v>
      </c>
      <c r="I56" s="89">
        <f t="shared" si="1"/>
        <v>85489.867440818867</v>
      </c>
      <c r="J56" s="89">
        <f t="shared" si="1"/>
        <v>814818.75005864433</v>
      </c>
      <c r="K56" s="89">
        <f t="shared" si="1"/>
        <v>892988.47194852796</v>
      </c>
      <c r="L56" s="89">
        <f t="shared" si="1"/>
        <v>157227.21897555274</v>
      </c>
      <c r="M56" s="89">
        <f t="shared" si="1"/>
        <v>42436.23960401793</v>
      </c>
      <c r="N56" s="89">
        <f t="shared" si="1"/>
        <v>7554.5164534912583</v>
      </c>
      <c r="O56" s="90">
        <f t="shared" si="2"/>
        <v>3564051.0973406904</v>
      </c>
    </row>
    <row r="57" spans="2:15" x14ac:dyDescent="0.2">
      <c r="B57" s="60" t="s">
        <v>34</v>
      </c>
      <c r="C57" s="89">
        <f t="shared" si="1"/>
        <v>110.36290178682731</v>
      </c>
      <c r="D57" s="89">
        <f t="shared" si="1"/>
        <v>3986.832065101537</v>
      </c>
      <c r="E57" s="89">
        <f t="shared" si="1"/>
        <v>50540.529629341392</v>
      </c>
      <c r="F57" s="89">
        <f t="shared" si="1"/>
        <v>887.67877686049974</v>
      </c>
      <c r="G57" s="89">
        <f t="shared" si="1"/>
        <v>948.11484039892628</v>
      </c>
      <c r="H57" s="89">
        <f t="shared" si="1"/>
        <v>11036.347853183168</v>
      </c>
      <c r="I57" s="89">
        <f t="shared" si="1"/>
        <v>3691.2545535849308</v>
      </c>
      <c r="J57" s="89">
        <f t="shared" si="1"/>
        <v>35181.987193774308</v>
      </c>
      <c r="K57" s="89">
        <f t="shared" si="1"/>
        <v>38557.17480975989</v>
      </c>
      <c r="L57" s="89">
        <f t="shared" si="1"/>
        <v>6788.7073095857531</v>
      </c>
      <c r="M57" s="89">
        <f t="shared" si="1"/>
        <v>1832.2985795221859</v>
      </c>
      <c r="N57" s="89">
        <f t="shared" si="1"/>
        <v>326.18653056616313</v>
      </c>
      <c r="O57" s="90">
        <f t="shared" si="2"/>
        <v>153887.47504346559</v>
      </c>
    </row>
    <row r="58" spans="2:15" x14ac:dyDescent="0.2">
      <c r="B58" s="60" t="s">
        <v>38</v>
      </c>
      <c r="C58" s="89">
        <f t="shared" si="1"/>
        <v>2218.8465964391503</v>
      </c>
      <c r="D58" s="89">
        <f t="shared" si="1"/>
        <v>80155.275142293103</v>
      </c>
      <c r="E58" s="89">
        <f t="shared" si="1"/>
        <v>1016117.5570293057</v>
      </c>
      <c r="F58" s="89">
        <f t="shared" si="1"/>
        <v>17846.785476632675</v>
      </c>
      <c r="G58" s="89">
        <f t="shared" si="1"/>
        <v>19061.852783792074</v>
      </c>
      <c r="H58" s="89">
        <f t="shared" si="1"/>
        <v>221885.81918998461</v>
      </c>
      <c r="I58" s="89">
        <f t="shared" si="1"/>
        <v>74212.688051937585</v>
      </c>
      <c r="J58" s="89">
        <f t="shared" si="1"/>
        <v>707333.99790136178</v>
      </c>
      <c r="K58" s="89">
        <f t="shared" si="1"/>
        <v>775192.15886688873</v>
      </c>
      <c r="L58" s="89">
        <f t="shared" si="1"/>
        <v>136486.98850988195</v>
      </c>
      <c r="M58" s="89">
        <f t="shared" si="1"/>
        <v>36838.370512276189</v>
      </c>
      <c r="N58" s="89">
        <f t="shared" si="1"/>
        <v>6557.9815448220852</v>
      </c>
      <c r="O58" s="90">
        <f t="shared" si="2"/>
        <v>3093908.3216056158</v>
      </c>
    </row>
    <row r="59" spans="2:15" x14ac:dyDescent="0.2">
      <c r="B59" s="60" t="s">
        <v>40</v>
      </c>
      <c r="C59" s="89">
        <f t="shared" si="1"/>
        <v>2907.3775752692377</v>
      </c>
      <c r="D59" s="89">
        <f t="shared" si="1"/>
        <v>105028.2835515662</v>
      </c>
      <c r="E59" s="89">
        <f t="shared" si="1"/>
        <v>1331429.3128174718</v>
      </c>
      <c r="F59" s="89">
        <f t="shared" si="1"/>
        <v>23384.827039720727</v>
      </c>
      <c r="G59" s="89">
        <f t="shared" si="1"/>
        <v>24976.942261632557</v>
      </c>
      <c r="H59" s="89">
        <f t="shared" si="1"/>
        <v>290739.27689209551</v>
      </c>
      <c r="I59" s="89">
        <f t="shared" si="1"/>
        <v>97241.650409233989</v>
      </c>
      <c r="J59" s="89">
        <f t="shared" si="1"/>
        <v>926827.03122615535</v>
      </c>
      <c r="K59" s="89">
        <f t="shared" si="1"/>
        <v>1015742.2792684478</v>
      </c>
      <c r="L59" s="89">
        <f t="shared" si="1"/>
        <v>178840.30844966223</v>
      </c>
      <c r="M59" s="89">
        <f t="shared" si="1"/>
        <v>48269.696746378257</v>
      </c>
      <c r="N59" s="89">
        <f t="shared" si="1"/>
        <v>8592.9908417479564</v>
      </c>
      <c r="O59" s="90">
        <f t="shared" si="2"/>
        <v>4053979.9770793812</v>
      </c>
    </row>
    <row r="60" spans="2:15" x14ac:dyDescent="0.2">
      <c r="B60" s="60" t="s">
        <v>41</v>
      </c>
      <c r="C60" s="89">
        <f t="shared" si="1"/>
        <v>9605.7984268806194</v>
      </c>
      <c r="D60" s="89">
        <f t="shared" si="1"/>
        <v>347007.05181857198</v>
      </c>
      <c r="E60" s="89">
        <f t="shared" si="1"/>
        <v>4398961.3551932443</v>
      </c>
      <c r="F60" s="89">
        <f t="shared" si="1"/>
        <v>77262.044222179466</v>
      </c>
      <c r="G60" s="89">
        <f t="shared" si="1"/>
        <v>82522.295943229852</v>
      </c>
      <c r="H60" s="89">
        <f t="shared" si="1"/>
        <v>960584.86257804825</v>
      </c>
      <c r="I60" s="89">
        <f t="shared" si="1"/>
        <v>321280.49018256401</v>
      </c>
      <c r="J60" s="89">
        <f t="shared" si="1"/>
        <v>3062180.060227707</v>
      </c>
      <c r="K60" s="89">
        <f t="shared" si="1"/>
        <v>3355950.6241322793</v>
      </c>
      <c r="L60" s="89">
        <f t="shared" si="1"/>
        <v>590877.48635796772</v>
      </c>
      <c r="M60" s="89">
        <f t="shared" si="1"/>
        <v>159480.13805170343</v>
      </c>
      <c r="N60" s="89">
        <f t="shared" si="1"/>
        <v>28390.718361449231</v>
      </c>
      <c r="O60" s="90">
        <f t="shared" si="2"/>
        <v>13394102.925495826</v>
      </c>
    </row>
    <row r="61" spans="2:15" x14ac:dyDescent="0.2">
      <c r="B61" s="60" t="s">
        <v>43</v>
      </c>
      <c r="C61" s="89">
        <f t="shared" si="1"/>
        <v>4503.922256008248</v>
      </c>
      <c r="D61" s="89">
        <f t="shared" si="1"/>
        <v>162703.05853013889</v>
      </c>
      <c r="E61" s="89">
        <f t="shared" si="1"/>
        <v>2062564.6167560669</v>
      </c>
      <c r="F61" s="89">
        <f t="shared" si="1"/>
        <v>36226.269285766291</v>
      </c>
      <c r="G61" s="89">
        <f t="shared" si="1"/>
        <v>38692.671738304343</v>
      </c>
      <c r="H61" s="89">
        <f t="shared" si="1"/>
        <v>450394.57930358098</v>
      </c>
      <c r="I61" s="89">
        <f t="shared" si="1"/>
        <v>150640.50751941444</v>
      </c>
      <c r="J61" s="89">
        <f t="shared" si="1"/>
        <v>1435780.7974160241</v>
      </c>
      <c r="K61" s="89">
        <f t="shared" si="1"/>
        <v>1573522.5781749573</v>
      </c>
      <c r="L61" s="89">
        <f t="shared" si="1"/>
        <v>277047.89785455435</v>
      </c>
      <c r="M61" s="89">
        <f t="shared" si="1"/>
        <v>74776.308146577547</v>
      </c>
      <c r="N61" s="89">
        <f t="shared" si="1"/>
        <v>13311.708471246517</v>
      </c>
      <c r="O61" s="90">
        <f t="shared" si="2"/>
        <v>6280164.9154526396</v>
      </c>
    </row>
    <row r="62" spans="2:15" x14ac:dyDescent="0.2">
      <c r="B62" s="60" t="s">
        <v>49</v>
      </c>
      <c r="C62" s="89">
        <f t="shared" si="1"/>
        <v>0</v>
      </c>
      <c r="D62" s="89">
        <f t="shared" si="1"/>
        <v>0</v>
      </c>
      <c r="E62" s="89">
        <f t="shared" si="1"/>
        <v>0</v>
      </c>
      <c r="F62" s="89">
        <f t="shared" si="1"/>
        <v>0</v>
      </c>
      <c r="G62" s="89">
        <f t="shared" si="1"/>
        <v>0</v>
      </c>
      <c r="H62" s="89">
        <f t="shared" si="1"/>
        <v>0</v>
      </c>
      <c r="I62" s="89">
        <f t="shared" si="1"/>
        <v>0</v>
      </c>
      <c r="J62" s="89">
        <f t="shared" si="1"/>
        <v>0</v>
      </c>
      <c r="K62" s="89">
        <f t="shared" si="1"/>
        <v>0</v>
      </c>
      <c r="L62" s="89">
        <f t="shared" si="1"/>
        <v>0</v>
      </c>
      <c r="M62" s="89">
        <f t="shared" si="1"/>
        <v>0</v>
      </c>
      <c r="N62" s="89">
        <f t="shared" si="1"/>
        <v>0</v>
      </c>
      <c r="O62" s="90">
        <f t="shared" si="2"/>
        <v>0</v>
      </c>
    </row>
    <row r="63" spans="2:15" x14ac:dyDescent="0.2">
      <c r="B63" s="60" t="s">
        <v>50</v>
      </c>
      <c r="C63" s="89">
        <f t="shared" si="1"/>
        <v>0</v>
      </c>
      <c r="D63" s="89">
        <f t="shared" si="1"/>
        <v>0</v>
      </c>
      <c r="E63" s="89">
        <f t="shared" si="1"/>
        <v>0</v>
      </c>
      <c r="F63" s="89">
        <f t="shared" si="1"/>
        <v>0</v>
      </c>
      <c r="G63" s="89">
        <f t="shared" si="1"/>
        <v>0</v>
      </c>
      <c r="H63" s="89">
        <f t="shared" si="1"/>
        <v>0</v>
      </c>
      <c r="I63" s="89">
        <f t="shared" si="1"/>
        <v>0</v>
      </c>
      <c r="J63" s="89">
        <f t="shared" si="1"/>
        <v>0</v>
      </c>
      <c r="K63" s="89">
        <f t="shared" si="1"/>
        <v>0</v>
      </c>
      <c r="L63" s="89">
        <f t="shared" si="1"/>
        <v>0</v>
      </c>
      <c r="M63" s="89">
        <f t="shared" si="1"/>
        <v>0</v>
      </c>
      <c r="N63" s="89">
        <f t="shared" si="1"/>
        <v>0</v>
      </c>
      <c r="O63" s="90">
        <f t="shared" si="2"/>
        <v>0</v>
      </c>
    </row>
    <row r="64" spans="2:15" x14ac:dyDescent="0.2">
      <c r="B64" s="91" t="s">
        <v>52</v>
      </c>
      <c r="C64" s="92">
        <f t="shared" ref="C64:J64" si="3">SUM(C51:C63)</f>
        <v>637346.08350383735</v>
      </c>
      <c r="D64" s="92">
        <f t="shared" si="3"/>
        <v>23023966.941246815</v>
      </c>
      <c r="E64" s="92">
        <f t="shared" si="3"/>
        <v>291871707.75637507</v>
      </c>
      <c r="F64" s="92">
        <f t="shared" si="3"/>
        <v>5126347.5559415212</v>
      </c>
      <c r="G64" s="92">
        <f t="shared" si="3"/>
        <v>5475366.0012249378</v>
      </c>
      <c r="H64" s="92">
        <f t="shared" si="3"/>
        <v>63734941.420793951</v>
      </c>
      <c r="I64" s="92">
        <f t="shared" si="3"/>
        <v>21317005.939978495</v>
      </c>
      <c r="J64" s="92">
        <f t="shared" si="3"/>
        <v>203176079.86736166</v>
      </c>
      <c r="K64" s="92">
        <f t="shared" ref="K64:L64" si="4">SUM(K51:K63)</f>
        <v>222667798.30997893</v>
      </c>
      <c r="L64" s="92">
        <f t="shared" si="4"/>
        <v>39204804.746578202</v>
      </c>
      <c r="M64" s="92">
        <f>SUM(M51:M63)</f>
        <v>10581529.703919919</v>
      </c>
      <c r="N64" s="92">
        <f>SUM(N51:N63)</f>
        <v>1883728.1766078253</v>
      </c>
      <c r="O64" s="64">
        <f>SUM(O51:O63)</f>
        <v>888700622.50351119</v>
      </c>
    </row>
    <row r="65" spans="2:15" x14ac:dyDescent="0.2">
      <c r="B65" s="40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O65" s="14"/>
    </row>
    <row r="66" spans="2:15" x14ac:dyDescent="0.2">
      <c r="B66" s="88"/>
      <c r="C66" s="93"/>
      <c r="D66" s="93"/>
      <c r="E66" s="93"/>
      <c r="F66" s="93"/>
      <c r="G66" s="40"/>
      <c r="H66" s="40"/>
      <c r="I66" s="40"/>
      <c r="J66" s="40"/>
      <c r="K66" s="40"/>
      <c r="L66" s="40"/>
      <c r="M66" s="40"/>
      <c r="O66" s="66">
        <f>-SUMPRODUCT(($F$8:$F$32&lt;0)*($F$8:$F$32))</f>
        <v>888700622.50351107</v>
      </c>
    </row>
    <row r="67" spans="2:15" x14ac:dyDescent="0.2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O67" s="67">
        <f>O64-O66</f>
        <v>0</v>
      </c>
    </row>
    <row r="68" spans="2:15" x14ac:dyDescent="0.2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O68" s="67">
        <f>O64-I6</f>
        <v>0</v>
      </c>
    </row>
    <row r="82" spans="4:6" x14ac:dyDescent="0.2">
      <c r="D82" s="40"/>
      <c r="E82" s="40"/>
      <c r="F82" s="40"/>
    </row>
  </sheetData>
  <mergeCells count="9">
    <mergeCell ref="B49:B50"/>
    <mergeCell ref="C49:N49"/>
    <mergeCell ref="O49:O50"/>
    <mergeCell ref="B6:B7"/>
    <mergeCell ref="C6:C7"/>
    <mergeCell ref="E6:E7"/>
    <mergeCell ref="F6:F7"/>
    <mergeCell ref="H6:H7"/>
    <mergeCell ref="I6: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4946-35A6-41DB-9CF9-8B1372483BB2}">
  <sheetPr codeName="Hoja12">
    <tabColor theme="7" tint="0.79998168889431442"/>
  </sheetPr>
  <dimension ref="B2:Q52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6.5703125" style="17" customWidth="1"/>
    <col min="2" max="2" width="24.85546875" style="17" customWidth="1"/>
    <col min="3" max="3" width="11.5703125" style="17" bestFit="1" customWidth="1"/>
    <col min="4" max="4" width="13.140625" style="17" bestFit="1" customWidth="1"/>
    <col min="5" max="5" width="12.5703125" style="17" customWidth="1"/>
    <col min="6" max="6" width="9.5703125" style="17" bestFit="1" customWidth="1"/>
    <col min="7" max="7" width="12.140625" style="17" bestFit="1" customWidth="1"/>
    <col min="8" max="8" width="12.5703125" style="17" customWidth="1"/>
    <col min="9" max="9" width="13.85546875" style="17" customWidth="1"/>
    <col min="10" max="10" width="12.85546875" style="17" customWidth="1"/>
    <col min="11" max="11" width="13.85546875" style="17" customWidth="1"/>
    <col min="12" max="12" width="12.140625" style="17" bestFit="1" customWidth="1"/>
    <col min="13" max="14" width="11.5703125" style="17" bestFit="1" customWidth="1"/>
    <col min="15" max="15" width="15.42578125" style="17" customWidth="1"/>
    <col min="16" max="16" width="11.7109375" style="17" customWidth="1"/>
    <col min="17" max="17" width="12.42578125" style="17" bestFit="1" customWidth="1"/>
    <col min="18" max="18" width="23.85546875" style="17" customWidth="1"/>
    <col min="19" max="16384" width="11.42578125" style="17"/>
  </cols>
  <sheetData>
    <row r="2" spans="2:17" x14ac:dyDescent="0.2">
      <c r="B2" s="16" t="s">
        <v>95</v>
      </c>
      <c r="C2" s="16"/>
      <c r="D2" s="16"/>
    </row>
    <row r="3" spans="2:17" x14ac:dyDescent="0.2">
      <c r="B3" s="18">
        <f>FechaFacturacion</f>
        <v>45566</v>
      </c>
      <c r="C3" s="19"/>
      <c r="D3" s="19"/>
      <c r="I3" s="20" t="s">
        <v>57</v>
      </c>
      <c r="J3" s="21"/>
      <c r="K3" s="21"/>
    </row>
    <row r="4" spans="2:17" x14ac:dyDescent="0.2">
      <c r="B4" s="22"/>
      <c r="D4" s="19"/>
      <c r="I4" s="23">
        <f>'Reliquidación TD'!$I$4</f>
        <v>9.7570308016070584E-3</v>
      </c>
      <c r="J4" s="24"/>
      <c r="K4" s="24"/>
    </row>
    <row r="6" spans="2:17" ht="12.75" customHeight="1" x14ac:dyDescent="0.2">
      <c r="B6" s="102" t="s">
        <v>6</v>
      </c>
      <c r="C6" s="102" t="s">
        <v>7</v>
      </c>
      <c r="D6" s="102" t="s">
        <v>8</v>
      </c>
      <c r="E6" s="102" t="s">
        <v>9</v>
      </c>
      <c r="F6" s="102" t="s">
        <v>10</v>
      </c>
      <c r="G6" s="102" t="s">
        <v>55</v>
      </c>
      <c r="H6" s="102" t="str">
        <f>"Saldo "&amp;TEXT(B3-1,"mmmmmmmmmm")</f>
        <v>Saldo septiembre</v>
      </c>
      <c r="I6" s="102" t="s">
        <v>58</v>
      </c>
      <c r="J6" s="102" t="s">
        <v>59</v>
      </c>
      <c r="K6" s="102" t="s">
        <v>60</v>
      </c>
      <c r="L6" s="105" t="s">
        <v>55</v>
      </c>
      <c r="M6" s="102" t="s">
        <v>89</v>
      </c>
      <c r="N6" s="100" t="s">
        <v>90</v>
      </c>
      <c r="O6" s="102" t="s">
        <v>64</v>
      </c>
      <c r="P6" s="102" t="s">
        <v>65</v>
      </c>
    </row>
    <row r="7" spans="2:17" x14ac:dyDescent="0.2">
      <c r="B7" s="106"/>
      <c r="C7" s="103"/>
      <c r="D7" s="103"/>
      <c r="E7" s="103"/>
      <c r="F7" s="103"/>
      <c r="G7" s="103"/>
      <c r="H7" s="104"/>
      <c r="I7" s="103"/>
      <c r="J7" s="103"/>
      <c r="K7" s="103"/>
      <c r="L7" s="105"/>
      <c r="M7" s="103"/>
      <c r="N7" s="101"/>
      <c r="O7" s="103"/>
      <c r="P7" s="103"/>
    </row>
    <row r="8" spans="2:17" ht="13.5" customHeight="1" x14ac:dyDescent="0.2">
      <c r="B8" s="106"/>
      <c r="C8" s="26" t="s">
        <v>12</v>
      </c>
      <c r="D8" s="26" t="s">
        <v>12</v>
      </c>
      <c r="E8" s="26" t="s">
        <v>12</v>
      </c>
      <c r="F8" s="26" t="s">
        <v>12</v>
      </c>
      <c r="G8" s="26" t="s">
        <v>13</v>
      </c>
      <c r="H8" s="26" t="s">
        <v>13</v>
      </c>
      <c r="I8" s="26" t="s">
        <v>13</v>
      </c>
      <c r="J8" s="26" t="s">
        <v>13</v>
      </c>
      <c r="K8" s="26" t="s">
        <v>13</v>
      </c>
      <c r="L8" s="26" t="s">
        <v>13</v>
      </c>
      <c r="M8" s="26" t="s">
        <v>13</v>
      </c>
      <c r="N8" s="28" t="s">
        <v>13</v>
      </c>
      <c r="O8" s="27" t="s">
        <v>13</v>
      </c>
      <c r="P8" s="27" t="s">
        <v>13</v>
      </c>
    </row>
    <row r="9" spans="2:17" x14ac:dyDescent="0.2">
      <c r="B9" s="30" t="s">
        <v>14</v>
      </c>
      <c r="C9" s="31">
        <f>SUMIF('Entrada 7TRAN'!$E$8:$E$43,'Reliquidación 7TRAN'!$B9,'Entrada 7TRAN'!F$8:F$43)</f>
        <v>1369056</v>
      </c>
      <c r="D9" s="31">
        <f>SUMIF('Entrada 7TRAN'!$E$8:$E$43,'Reliquidación 7TRAN'!$B9,'Entrada 7TRAN'!G$8:G$43)</f>
        <v>3036897</v>
      </c>
      <c r="E9" s="31">
        <f>SUMIF('Entrada 7TRAN'!$E$8:$E$43,'Reliquidación 7TRAN'!$B9,'Entrada 7TRAN'!H$8:H$43)</f>
        <v>145180</v>
      </c>
      <c r="F9" s="31">
        <f>SUMIF('Entrada 7TRAN'!$E$8:$E$43,'Reliquidación 7TRAN'!$B9,'Entrada 7TRAN'!I$8:I$43)</f>
        <v>29987</v>
      </c>
      <c r="G9" s="31">
        <f>SUMIF('Entrada 7TRAN'!$E$8:$E$43,'Reliquidación 7TRAN'!$B9,'Entrada 7TRAN'!J$8:J$43)</f>
        <v>2294491.1590623399</v>
      </c>
      <c r="H9" s="31">
        <v>669982.42214839859</v>
      </c>
      <c r="I9" s="31">
        <f t="shared" ref="I9:I43" si="0">H9*($I$4+1)</f>
        <v>676519.46127783577</v>
      </c>
      <c r="J9" s="31">
        <v>0</v>
      </c>
      <c r="K9" s="31">
        <f>+J9*($I$4+1)</f>
        <v>0</v>
      </c>
      <c r="L9" s="31">
        <f t="shared" ref="L9:L43" si="1">G9+I9</f>
        <v>2971010.6203401759</v>
      </c>
      <c r="M9" s="31">
        <f>IF(L9&lt;0,-L9,0)</f>
        <v>0</v>
      </c>
      <c r="N9" s="31">
        <f>IF(L9&gt;0,L9,0)</f>
        <v>2971010.6203401759</v>
      </c>
      <c r="O9" s="31">
        <f t="shared" ref="O9:O42" si="2">IF(OR($M$44=0,$N$44=0),0,((M9/$M$44-N9/$N$44)*$N$49))</f>
        <v>-2335479.0930184694</v>
      </c>
      <c r="P9" s="31">
        <f>L9+O9</f>
        <v>635531.52732170653</v>
      </c>
      <c r="Q9" s="68"/>
    </row>
    <row r="10" spans="2:17" x14ac:dyDescent="0.2">
      <c r="B10" s="32" t="s">
        <v>15</v>
      </c>
      <c r="C10" s="33">
        <f>SUMIF('Entrada 7TRAN'!$E$8:$E$43,'Reliquidación 7TRAN'!$B10,'Entrada 7TRAN'!F$8:F$43)</f>
        <v>736444</v>
      </c>
      <c r="D10" s="33">
        <f>SUMIF('Entrada 7TRAN'!$E$8:$E$43,'Reliquidación 7TRAN'!$B10,'Entrada 7TRAN'!G$8:G$43)</f>
        <v>2954329</v>
      </c>
      <c r="E10" s="33">
        <f>SUMIF('Entrada 7TRAN'!$E$8:$E$43,'Reliquidación 7TRAN'!$B10,'Entrada 7TRAN'!H$8:H$43)</f>
        <v>1383</v>
      </c>
      <c r="F10" s="33">
        <f>SUMIF('Entrada 7TRAN'!$E$8:$E$43,'Reliquidación 7TRAN'!$B10,'Entrada 7TRAN'!I$8:I$43)</f>
        <v>30387</v>
      </c>
      <c r="G10" s="33">
        <f>SUMIF('Entrada 7TRAN'!$E$8:$E$43,'Reliquidación 7TRAN'!$B10,'Entrada 7TRAN'!J$8:J$43)</f>
        <v>1756438.2361641501</v>
      </c>
      <c r="H10" s="33">
        <v>498837.63392043393</v>
      </c>
      <c r="I10" s="33">
        <f t="shared" si="0"/>
        <v>503704.80807959638</v>
      </c>
      <c r="J10" s="33">
        <v>0</v>
      </c>
      <c r="K10" s="33">
        <f t="shared" ref="K10:K43" si="3">+J10*($I$4+1)</f>
        <v>0</v>
      </c>
      <c r="L10" s="33">
        <f t="shared" si="1"/>
        <v>2260143.0442437464</v>
      </c>
      <c r="M10" s="33">
        <f t="shared" ref="M10:M43" si="4">IF(L10&lt;0,-L10,0)</f>
        <v>0</v>
      </c>
      <c r="N10" s="33">
        <f>IF(L10&gt;0,L10,0)</f>
        <v>2260143.0442437464</v>
      </c>
      <c r="O10" s="33">
        <f t="shared" si="2"/>
        <v>-1776673.8331140685</v>
      </c>
      <c r="P10" s="33">
        <f t="shared" ref="P10:P43" si="5">L10+O10</f>
        <v>483469.21112967795</v>
      </c>
      <c r="Q10" s="68"/>
    </row>
    <row r="11" spans="2:17" x14ac:dyDescent="0.2">
      <c r="B11" s="32" t="s">
        <v>16</v>
      </c>
      <c r="C11" s="33">
        <f>SUMIF('Entrada 7TRAN'!$E$8:$E$43,'Reliquidación 7TRAN'!$B11,'Entrada 7TRAN'!F$8:F$43)</f>
        <v>1805683.4</v>
      </c>
      <c r="D11" s="33">
        <f>SUMIF('Entrada 7TRAN'!$E$8:$E$43,'Reliquidación 7TRAN'!$B11,'Entrada 7TRAN'!G$8:G$43)</f>
        <v>5971293.3500100002</v>
      </c>
      <c r="E11" s="33">
        <f>SUMIF('Entrada 7TRAN'!$E$8:$E$43,'Reliquidación 7TRAN'!$B11,'Entrada 7TRAN'!H$8:H$43)</f>
        <v>0</v>
      </c>
      <c r="F11" s="33">
        <f>SUMIF('Entrada 7TRAN'!$E$8:$E$43,'Reliquidación 7TRAN'!$B11,'Entrada 7TRAN'!I$8:I$43)</f>
        <v>13086.6</v>
      </c>
      <c r="G11" s="33">
        <f>SUMIF('Entrada 7TRAN'!$E$8:$E$43,'Reliquidación 7TRAN'!$B11,'Entrada 7TRAN'!J$8:J$43)</f>
        <v>5600195.5226897513</v>
      </c>
      <c r="H11" s="33">
        <v>1050554.8439503838</v>
      </c>
      <c r="I11" s="33">
        <f t="shared" si="0"/>
        <v>1060805.1399215853</v>
      </c>
      <c r="J11" s="33">
        <v>0</v>
      </c>
      <c r="K11" s="33">
        <f t="shared" si="3"/>
        <v>0</v>
      </c>
      <c r="L11" s="33">
        <f t="shared" si="1"/>
        <v>6661000.6626113364</v>
      </c>
      <c r="M11" s="33">
        <f t="shared" si="4"/>
        <v>0</v>
      </c>
      <c r="N11" s="33">
        <f t="shared" ref="N11:N43" si="6">IF(L11&gt;0,L11,0)</f>
        <v>6661000.6626113364</v>
      </c>
      <c r="O11" s="33">
        <f t="shared" si="2"/>
        <v>-5236140.079610263</v>
      </c>
      <c r="P11" s="33">
        <f t="shared" si="5"/>
        <v>1424860.5830010734</v>
      </c>
      <c r="Q11" s="68"/>
    </row>
    <row r="12" spans="2:17" x14ac:dyDescent="0.2">
      <c r="B12" s="32" t="s">
        <v>17</v>
      </c>
      <c r="C12" s="33">
        <f>SUMIF('Entrada 7TRAN'!$E$8:$E$43,'Reliquidación 7TRAN'!$B12,'Entrada 7TRAN'!F$8:F$43)</f>
        <v>407838</v>
      </c>
      <c r="D12" s="33">
        <f>SUMIF('Entrada 7TRAN'!$E$8:$E$43,'Reliquidación 7TRAN'!$B12,'Entrada 7TRAN'!G$8:G$43)</f>
        <v>1342341</v>
      </c>
      <c r="E12" s="33">
        <f>SUMIF('Entrada 7TRAN'!$E$8:$E$43,'Reliquidación 7TRAN'!$B12,'Entrada 7TRAN'!H$8:H$43)</f>
        <v>0</v>
      </c>
      <c r="F12" s="33">
        <f>SUMIF('Entrada 7TRAN'!$E$8:$E$43,'Reliquidación 7TRAN'!$B12,'Entrada 7TRAN'!I$8:I$43)</f>
        <v>0</v>
      </c>
      <c r="G12" s="33">
        <f>SUMIF('Entrada 7TRAN'!$E$8:$E$43,'Reliquidación 7TRAN'!$B12,'Entrada 7TRAN'!J$8:J$43)</f>
        <v>1528362.395768655</v>
      </c>
      <c r="H12" s="33">
        <v>293337.66690898815</v>
      </c>
      <c r="I12" s="33">
        <f t="shared" si="0"/>
        <v>296199.77156029071</v>
      </c>
      <c r="J12" s="33">
        <v>0</v>
      </c>
      <c r="K12" s="33">
        <f t="shared" si="3"/>
        <v>0</v>
      </c>
      <c r="L12" s="33">
        <f t="shared" si="1"/>
        <v>1824562.1673289458</v>
      </c>
      <c r="M12" s="33">
        <f t="shared" si="4"/>
        <v>0</v>
      </c>
      <c r="N12" s="33">
        <f t="shared" si="6"/>
        <v>1824562.1673289458</v>
      </c>
      <c r="O12" s="33">
        <f t="shared" si="2"/>
        <v>-1434268.4494413943</v>
      </c>
      <c r="P12" s="33">
        <f t="shared" si="5"/>
        <v>390293.71788755152</v>
      </c>
      <c r="Q12" s="68"/>
    </row>
    <row r="13" spans="2:17" x14ac:dyDescent="0.2">
      <c r="B13" s="32" t="s">
        <v>18</v>
      </c>
      <c r="C13" s="33">
        <f>SUMIF('Entrada 7TRAN'!$E$8:$E$43,'Reliquidación 7TRAN'!$B13,'Entrada 7TRAN'!F$8:F$43)</f>
        <v>129685529.675</v>
      </c>
      <c r="D13" s="33">
        <f>SUMIF('Entrada 7TRAN'!$E$8:$E$43,'Reliquidación 7TRAN'!$B13,'Entrada 7TRAN'!G$8:G$43)</f>
        <v>463007299.80900002</v>
      </c>
      <c r="E13" s="33">
        <f>SUMIF('Entrada 7TRAN'!$E$8:$E$43,'Reliquidación 7TRAN'!$B13,'Entrada 7TRAN'!H$8:H$43)</f>
        <v>5592286.5279999999</v>
      </c>
      <c r="F13" s="33">
        <f>SUMIF('Entrada 7TRAN'!$E$8:$E$43,'Reliquidación 7TRAN'!$B13,'Entrada 7TRAN'!I$8:I$43)</f>
        <v>1342583.72</v>
      </c>
      <c r="G13" s="33">
        <f>SUMIF('Entrada 7TRAN'!$E$8:$E$43,'Reliquidación 7TRAN'!$B13,'Entrada 7TRAN'!J$8:J$43)</f>
        <v>-376747519.02217227</v>
      </c>
      <c r="H13" s="33">
        <v>0</v>
      </c>
      <c r="I13" s="33">
        <f t="shared" si="0"/>
        <v>0</v>
      </c>
      <c r="J13" s="33">
        <v>0</v>
      </c>
      <c r="K13" s="33">
        <f t="shared" si="3"/>
        <v>0</v>
      </c>
      <c r="L13" s="33">
        <f t="shared" si="1"/>
        <v>-376747519.02217227</v>
      </c>
      <c r="M13" s="33">
        <f t="shared" si="4"/>
        <v>376747519.02217227</v>
      </c>
      <c r="N13" s="33">
        <f t="shared" si="6"/>
        <v>0</v>
      </c>
      <c r="O13" s="33">
        <f t="shared" si="2"/>
        <v>376747519.02217221</v>
      </c>
      <c r="P13" s="33">
        <f t="shared" si="5"/>
        <v>0</v>
      </c>
      <c r="Q13" s="68"/>
    </row>
    <row r="14" spans="2:17" x14ac:dyDescent="0.2">
      <c r="B14" s="32" t="s">
        <v>20</v>
      </c>
      <c r="C14" s="33">
        <f>SUMIF('Entrada 7TRAN'!$E$8:$E$43,'Reliquidación 7TRAN'!$B14,'Entrada 7TRAN'!F$8:F$43)</f>
        <v>233278</v>
      </c>
      <c r="D14" s="33">
        <f>SUMIF('Entrada 7TRAN'!$E$8:$E$43,'Reliquidación 7TRAN'!$B14,'Entrada 7TRAN'!G$8:G$43)</f>
        <v>913327.00399999996</v>
      </c>
      <c r="E14" s="33">
        <f>SUMIF('Entrada 7TRAN'!$E$8:$E$43,'Reliquidación 7TRAN'!$B14,'Entrada 7TRAN'!H$8:H$43)</f>
        <v>0</v>
      </c>
      <c r="F14" s="33">
        <f>SUMIF('Entrada 7TRAN'!$E$8:$E$43,'Reliquidación 7TRAN'!$B14,'Entrada 7TRAN'!I$8:I$43)</f>
        <v>0</v>
      </c>
      <c r="G14" s="33">
        <f>SUMIF('Entrada 7TRAN'!$E$8:$E$43,'Reliquidación 7TRAN'!$B14,'Entrada 7TRAN'!J$8:J$43)</f>
        <v>661145.3897977412</v>
      </c>
      <c r="H14" s="33">
        <v>108175.98008439486</v>
      </c>
      <c r="I14" s="33">
        <f t="shared" si="0"/>
        <v>109231.45645407234</v>
      </c>
      <c r="J14" s="33">
        <v>0</v>
      </c>
      <c r="K14" s="33">
        <f t="shared" si="3"/>
        <v>0</v>
      </c>
      <c r="L14" s="33">
        <f t="shared" si="1"/>
        <v>770376.84625181358</v>
      </c>
      <c r="M14" s="33">
        <f t="shared" si="4"/>
        <v>0</v>
      </c>
      <c r="N14" s="33">
        <f t="shared" si="6"/>
        <v>770376.84625181358</v>
      </c>
      <c r="O14" s="33">
        <f t="shared" si="2"/>
        <v>-605584.84909105068</v>
      </c>
      <c r="P14" s="33">
        <f t="shared" si="5"/>
        <v>164791.9971607629</v>
      </c>
      <c r="Q14" s="68"/>
    </row>
    <row r="15" spans="2:17" x14ac:dyDescent="0.2">
      <c r="B15" s="32" t="s">
        <v>21</v>
      </c>
      <c r="C15" s="33">
        <f>SUMIF('Entrada 7TRAN'!$E$8:$E$43,'Reliquidación 7TRAN'!$B15,'Entrada 7TRAN'!F$8:F$43)</f>
        <v>10262916.464</v>
      </c>
      <c r="D15" s="33">
        <f>SUMIF('Entrada 7TRAN'!$E$8:$E$43,'Reliquidación 7TRAN'!$B15,'Entrada 7TRAN'!G$8:G$43)</f>
        <v>20625852.081</v>
      </c>
      <c r="E15" s="33">
        <f>SUMIF('Entrada 7TRAN'!$E$8:$E$43,'Reliquidación 7TRAN'!$B15,'Entrada 7TRAN'!H$8:H$43)</f>
        <v>749459.40300000005</v>
      </c>
      <c r="F15" s="33">
        <f>SUMIF('Entrada 7TRAN'!$E$8:$E$43,'Reliquidación 7TRAN'!$B15,'Entrada 7TRAN'!I$8:I$43)</f>
        <v>73566.923999999999</v>
      </c>
      <c r="G15" s="33">
        <f>SUMIF('Entrada 7TRAN'!$E$8:$E$43,'Reliquidación 7TRAN'!$B15,'Entrada 7TRAN'!J$8:J$43)</f>
        <v>-20768333.195336811</v>
      </c>
      <c r="H15" s="33">
        <v>0</v>
      </c>
      <c r="I15" s="33">
        <f t="shared" si="0"/>
        <v>0</v>
      </c>
      <c r="J15" s="33">
        <v>0</v>
      </c>
      <c r="K15" s="33">
        <f t="shared" si="3"/>
        <v>0</v>
      </c>
      <c r="L15" s="33">
        <f t="shared" si="1"/>
        <v>-20768333.195336811</v>
      </c>
      <c r="M15" s="33">
        <f t="shared" si="4"/>
        <v>20768333.195336811</v>
      </c>
      <c r="N15" s="33">
        <f t="shared" si="6"/>
        <v>0</v>
      </c>
      <c r="O15" s="33">
        <f t="shared" si="2"/>
        <v>20768333.195336811</v>
      </c>
      <c r="P15" s="33">
        <f t="shared" si="5"/>
        <v>0</v>
      </c>
      <c r="Q15" s="68"/>
    </row>
    <row r="16" spans="2:17" x14ac:dyDescent="0.2">
      <c r="B16" s="32" t="s">
        <v>22</v>
      </c>
      <c r="C16" s="33">
        <f>SUMIF('Entrada 7TRAN'!$E$8:$E$43,'Reliquidación 7TRAN'!$B16,'Entrada 7TRAN'!F$8:F$43)</f>
        <v>0</v>
      </c>
      <c r="D16" s="33">
        <f>SUMIF('Entrada 7TRAN'!$E$8:$E$43,'Reliquidación 7TRAN'!$B16,'Entrada 7TRAN'!G$8:G$43)</f>
        <v>0</v>
      </c>
      <c r="E16" s="33">
        <f>SUMIF('Entrada 7TRAN'!$E$8:$E$43,'Reliquidación 7TRAN'!$B16,'Entrada 7TRAN'!H$8:H$43)</f>
        <v>0</v>
      </c>
      <c r="F16" s="33">
        <f>SUMIF('Entrada 7TRAN'!$E$8:$E$43,'Reliquidación 7TRAN'!$B16,'Entrada 7TRAN'!I$8:I$43)</f>
        <v>0</v>
      </c>
      <c r="G16" s="33">
        <f>SUMIF('Entrada 7TRAN'!$E$8:$E$43,'Reliquidación 7TRAN'!$B16,'Entrada 7TRAN'!J$8:J$43)</f>
        <v>0</v>
      </c>
      <c r="H16" s="33">
        <v>0</v>
      </c>
      <c r="I16" s="33">
        <f t="shared" si="0"/>
        <v>0</v>
      </c>
      <c r="J16" s="33">
        <v>0</v>
      </c>
      <c r="K16" s="33">
        <f t="shared" si="3"/>
        <v>0</v>
      </c>
      <c r="L16" s="33">
        <f t="shared" si="1"/>
        <v>0</v>
      </c>
      <c r="M16" s="33">
        <f t="shared" si="4"/>
        <v>0</v>
      </c>
      <c r="N16" s="33">
        <f t="shared" si="6"/>
        <v>0</v>
      </c>
      <c r="O16" s="33">
        <f t="shared" si="2"/>
        <v>0</v>
      </c>
      <c r="P16" s="33">
        <f t="shared" si="5"/>
        <v>0</v>
      </c>
      <c r="Q16" s="68"/>
    </row>
    <row r="17" spans="2:17" x14ac:dyDescent="0.2">
      <c r="B17" s="32" t="s">
        <v>23</v>
      </c>
      <c r="C17" s="33">
        <f>SUMIF('Entrada 7TRAN'!$E$8:$E$43,'Reliquidación 7TRAN'!$B17,'Entrada 7TRAN'!F$8:F$43)</f>
        <v>0</v>
      </c>
      <c r="D17" s="33">
        <f>SUMIF('Entrada 7TRAN'!$E$8:$E$43,'Reliquidación 7TRAN'!$B17,'Entrada 7TRAN'!G$8:G$43)</f>
        <v>0</v>
      </c>
      <c r="E17" s="33">
        <f>SUMIF('Entrada 7TRAN'!$E$8:$E$43,'Reliquidación 7TRAN'!$B17,'Entrada 7TRAN'!H$8:H$43)</f>
        <v>0</v>
      </c>
      <c r="F17" s="33">
        <f>SUMIF('Entrada 7TRAN'!$E$8:$E$43,'Reliquidación 7TRAN'!$B17,'Entrada 7TRAN'!I$8:I$43)</f>
        <v>0</v>
      </c>
      <c r="G17" s="33">
        <f>SUMIF('Entrada 7TRAN'!$E$8:$E$43,'Reliquidación 7TRAN'!$B17,'Entrada 7TRAN'!J$8:J$43)</f>
        <v>0</v>
      </c>
      <c r="H17" s="33">
        <v>0</v>
      </c>
      <c r="I17" s="33">
        <f t="shared" si="0"/>
        <v>0</v>
      </c>
      <c r="J17" s="33">
        <v>0</v>
      </c>
      <c r="K17" s="33">
        <f t="shared" si="3"/>
        <v>0</v>
      </c>
      <c r="L17" s="33">
        <f t="shared" si="1"/>
        <v>0</v>
      </c>
      <c r="M17" s="33">
        <f t="shared" si="4"/>
        <v>0</v>
      </c>
      <c r="N17" s="33">
        <f t="shared" si="6"/>
        <v>0</v>
      </c>
      <c r="O17" s="33">
        <f t="shared" si="2"/>
        <v>0</v>
      </c>
      <c r="P17" s="33">
        <f t="shared" si="5"/>
        <v>0</v>
      </c>
      <c r="Q17" s="68"/>
    </row>
    <row r="18" spans="2:17" x14ac:dyDescent="0.2">
      <c r="B18" s="32" t="s">
        <v>24</v>
      </c>
      <c r="C18" s="33">
        <f>SUMIF('Entrada 7TRAN'!$E$8:$E$43,'Reliquidación 7TRAN'!$B18,'Entrada 7TRAN'!F$8:F$43)+SUMIF('Entrada 7TRAN'!$E$8:$E$43,"LUZ ANDES",'Entrada 7TRAN'!F$8:F$43)</f>
        <v>99737508.739000008</v>
      </c>
      <c r="D18" s="33">
        <f>SUMIF('Entrada 7TRAN'!$E$8:$E$43,'Reliquidación 7TRAN'!$B18,'Entrada 7TRAN'!G$8:G$43)+SUMIF('Entrada 7TRAN'!$E$8:$E$43,"LUZ ANDES",'Entrada 7TRAN'!G$8:G$43)</f>
        <v>579636193.58700001</v>
      </c>
      <c r="E18" s="33">
        <f>SUMIF('Entrada 7TRAN'!$E$8:$E$43,'Reliquidación 7TRAN'!$B18,'Entrada 7TRAN'!H$8:H$43)+SUMIF('Entrada 7TRAN'!$E$8:$E$43,"LUZ ANDES",'Entrada 7TRAN'!H$8:H$43)</f>
        <v>535261</v>
      </c>
      <c r="F18" s="33">
        <f>SUMIF('Entrada 7TRAN'!$E$8:$E$43,'Reliquidación 7TRAN'!$B18,'Entrada 7TRAN'!I$8:I$43)+SUMIF('Entrada 7TRAN'!$E$8:$E$43,"LUZ ANDES",'Entrada 7TRAN'!I$8:I$43)</f>
        <v>1279747.5719999999</v>
      </c>
      <c r="G18" s="33">
        <f>SUMIF('Entrada 7TRAN'!$E$8:$E$43,'Reliquidación 7TRAN'!$B18,'Entrada 7TRAN'!J$8:J$43)+SUMIF('Entrada 7TRAN'!$E$8:$E$43,"LUZ ANDES",'Entrada 7TRAN'!J$8:J$43)</f>
        <v>454548675.04149991</v>
      </c>
      <c r="H18" s="33">
        <v>99890474.758184493</v>
      </c>
      <c r="I18" s="33">
        <f t="shared" si="0"/>
        <v>100865109.19718724</v>
      </c>
      <c r="J18" s="33">
        <v>0</v>
      </c>
      <c r="K18" s="33">
        <f t="shared" si="3"/>
        <v>0</v>
      </c>
      <c r="L18" s="33">
        <f t="shared" si="1"/>
        <v>555413784.23868716</v>
      </c>
      <c r="M18" s="33">
        <f t="shared" si="4"/>
        <v>0</v>
      </c>
      <c r="N18" s="33">
        <f t="shared" si="6"/>
        <v>555413784.23868716</v>
      </c>
      <c r="O18" s="33">
        <f t="shared" si="2"/>
        <v>-436604727.08616656</v>
      </c>
      <c r="P18" s="33">
        <f t="shared" si="5"/>
        <v>118809057.1525206</v>
      </c>
      <c r="Q18" s="68"/>
    </row>
    <row r="19" spans="2:17" x14ac:dyDescent="0.2">
      <c r="B19" s="32" t="s">
        <v>26</v>
      </c>
      <c r="C19" s="33">
        <f>SUMIF('Entrada 7TRAN'!$E$8:$E$43,'Reliquidación 7TRAN'!$B19,'Entrada 7TRAN'!F$8:F$43)</f>
        <v>32570199.870000001</v>
      </c>
      <c r="D19" s="33">
        <f>SUMIF('Entrada 7TRAN'!$E$8:$E$43,'Reliquidación 7TRAN'!$B19,'Entrada 7TRAN'!G$8:G$43)</f>
        <v>70264417.353</v>
      </c>
      <c r="E19" s="33">
        <f>SUMIF('Entrada 7TRAN'!$E$8:$E$43,'Reliquidación 7TRAN'!$B19,'Entrada 7TRAN'!H$8:H$43)</f>
        <v>1138181.7109999999</v>
      </c>
      <c r="F19" s="33">
        <f>SUMIF('Entrada 7TRAN'!$E$8:$E$43,'Reliquidación 7TRAN'!$B19,'Entrada 7TRAN'!I$8:I$43)</f>
        <v>170381.96400000001</v>
      </c>
      <c r="G19" s="33">
        <f>SUMIF('Entrada 7TRAN'!$E$8:$E$43,'Reliquidación 7TRAN'!$B19,'Entrada 7TRAN'!J$8:J$43)</f>
        <v>-77482138.517105848</v>
      </c>
      <c r="H19" s="33">
        <v>0</v>
      </c>
      <c r="I19" s="33">
        <f t="shared" si="0"/>
        <v>0</v>
      </c>
      <c r="J19" s="33">
        <v>0</v>
      </c>
      <c r="K19" s="33">
        <f t="shared" si="3"/>
        <v>0</v>
      </c>
      <c r="L19" s="33">
        <f t="shared" si="1"/>
        <v>-77482138.517105848</v>
      </c>
      <c r="M19" s="33">
        <f t="shared" si="4"/>
        <v>77482138.517105848</v>
      </c>
      <c r="N19" s="33">
        <f t="shared" si="6"/>
        <v>0</v>
      </c>
      <c r="O19" s="33">
        <f t="shared" si="2"/>
        <v>77482138.517105848</v>
      </c>
      <c r="P19" s="33">
        <f t="shared" si="5"/>
        <v>0</v>
      </c>
      <c r="Q19" s="68"/>
    </row>
    <row r="20" spans="2:17" x14ac:dyDescent="0.2">
      <c r="B20" s="32" t="s">
        <v>27</v>
      </c>
      <c r="C20" s="33">
        <f>SUMIF('Entrada 7TRAN'!$E$8:$E$43,'Reliquidación 7TRAN'!$B20,'Entrada 7TRAN'!F$8:F$43)</f>
        <v>3244522.9169999999</v>
      </c>
      <c r="D20" s="33">
        <f>SUMIF('Entrada 7TRAN'!$E$8:$E$43,'Reliquidación 7TRAN'!$B20,'Entrada 7TRAN'!G$8:G$43)</f>
        <v>18023899.783</v>
      </c>
      <c r="E20" s="33">
        <f>SUMIF('Entrada 7TRAN'!$E$8:$E$43,'Reliquidación 7TRAN'!$B20,'Entrada 7TRAN'!H$8:H$43)</f>
        <v>0</v>
      </c>
      <c r="F20" s="33">
        <f>SUMIF('Entrada 7TRAN'!$E$8:$E$43,'Reliquidación 7TRAN'!$B20,'Entrada 7TRAN'!I$8:I$43)</f>
        <v>16943.004000000001</v>
      </c>
      <c r="G20" s="33">
        <f>SUMIF('Entrada 7TRAN'!$E$8:$E$43,'Reliquidación 7TRAN'!$B20,'Entrada 7TRAN'!J$8:J$43)</f>
        <v>17540757.235220559</v>
      </c>
      <c r="H20" s="33">
        <v>3558055.3120452203</v>
      </c>
      <c r="I20" s="33">
        <f t="shared" si="0"/>
        <v>3592771.367318667</v>
      </c>
      <c r="J20" s="33">
        <v>0</v>
      </c>
      <c r="K20" s="33">
        <f t="shared" si="3"/>
        <v>0</v>
      </c>
      <c r="L20" s="33">
        <f t="shared" si="1"/>
        <v>21133528.602539226</v>
      </c>
      <c r="M20" s="33">
        <f t="shared" si="4"/>
        <v>0</v>
      </c>
      <c r="N20" s="33">
        <f t="shared" si="6"/>
        <v>21133528.602539226</v>
      </c>
      <c r="O20" s="33">
        <f t="shared" si="2"/>
        <v>-16612836.680902509</v>
      </c>
      <c r="P20" s="33">
        <f t="shared" si="5"/>
        <v>4520691.9216367174</v>
      </c>
      <c r="Q20" s="68"/>
    </row>
    <row r="21" spans="2:17" x14ac:dyDescent="0.2">
      <c r="B21" s="32" t="s">
        <v>28</v>
      </c>
      <c r="C21" s="33">
        <f>SUMIF('Entrada 7TRAN'!$E$8:$E$43,'Reliquidación 7TRAN'!$B21,'Entrada 7TRAN'!F$8:F$43)</f>
        <v>0</v>
      </c>
      <c r="D21" s="33">
        <f>SUMIF('Entrada 7TRAN'!$E$8:$E$43,'Reliquidación 7TRAN'!$B21,'Entrada 7TRAN'!G$8:G$43)</f>
        <v>0</v>
      </c>
      <c r="E21" s="33">
        <f>SUMIF('Entrada 7TRAN'!$E$8:$E$43,'Reliquidación 7TRAN'!$B21,'Entrada 7TRAN'!H$8:H$43)</f>
        <v>0</v>
      </c>
      <c r="F21" s="33">
        <f>SUMIF('Entrada 7TRAN'!$E$8:$E$43,'Reliquidación 7TRAN'!$B21,'Entrada 7TRAN'!I$8:I$43)</f>
        <v>0</v>
      </c>
      <c r="G21" s="33">
        <f>SUMIF('Entrada 7TRAN'!$E$8:$E$43,'Reliquidación 7TRAN'!$B21,'Entrada 7TRAN'!J$8:J$43)</f>
        <v>0</v>
      </c>
      <c r="H21" s="33">
        <v>0</v>
      </c>
      <c r="I21" s="33">
        <f t="shared" si="0"/>
        <v>0</v>
      </c>
      <c r="J21" s="33">
        <v>0</v>
      </c>
      <c r="K21" s="33">
        <f t="shared" si="3"/>
        <v>0</v>
      </c>
      <c r="L21" s="33">
        <f t="shared" si="1"/>
        <v>0</v>
      </c>
      <c r="M21" s="33">
        <f t="shared" si="4"/>
        <v>0</v>
      </c>
      <c r="N21" s="33">
        <f t="shared" si="6"/>
        <v>0</v>
      </c>
      <c r="O21" s="33">
        <f t="shared" si="2"/>
        <v>0</v>
      </c>
      <c r="P21" s="33">
        <f t="shared" si="5"/>
        <v>0</v>
      </c>
      <c r="Q21" s="68"/>
    </row>
    <row r="22" spans="2:17" x14ac:dyDescent="0.2">
      <c r="B22" s="32" t="s">
        <v>29</v>
      </c>
      <c r="C22" s="33">
        <f>SUMIF('Entrada 7TRAN'!$E$8:$E$43,'Reliquidación 7TRAN'!$B22,'Entrada 7TRAN'!F$8:F$43)</f>
        <v>1337677</v>
      </c>
      <c r="D22" s="33">
        <f>SUMIF('Entrada 7TRAN'!$E$8:$E$43,'Reliquidación 7TRAN'!$B22,'Entrada 7TRAN'!G$8:G$43)</f>
        <v>7924621</v>
      </c>
      <c r="E22" s="33">
        <f>SUMIF('Entrada 7TRAN'!$E$8:$E$43,'Reliquidación 7TRAN'!$B22,'Entrada 7TRAN'!H$8:H$43)</f>
        <v>880</v>
      </c>
      <c r="F22" s="33">
        <f>SUMIF('Entrada 7TRAN'!$E$8:$E$43,'Reliquidación 7TRAN'!$B22,'Entrada 7TRAN'!I$8:I$43)</f>
        <v>17333</v>
      </c>
      <c r="G22" s="33">
        <f>SUMIF('Entrada 7TRAN'!$E$8:$E$43,'Reliquidación 7TRAN'!$B22,'Entrada 7TRAN'!J$8:J$43)</f>
        <v>7008464.6240300788</v>
      </c>
      <c r="H22" s="33">
        <v>1219286.7699957537</v>
      </c>
      <c r="I22" s="33">
        <f t="shared" si="0"/>
        <v>1231183.3885665941</v>
      </c>
      <c r="J22" s="33">
        <v>0</v>
      </c>
      <c r="K22" s="33">
        <f t="shared" si="3"/>
        <v>0</v>
      </c>
      <c r="L22" s="33">
        <f t="shared" si="1"/>
        <v>8239648.0125966724</v>
      </c>
      <c r="M22" s="33">
        <f t="shared" si="4"/>
        <v>0</v>
      </c>
      <c r="N22" s="33">
        <f t="shared" si="6"/>
        <v>8239648.0125966724</v>
      </c>
      <c r="O22" s="33">
        <f t="shared" si="2"/>
        <v>-6477097.5692599025</v>
      </c>
      <c r="P22" s="33">
        <f t="shared" si="5"/>
        <v>1762550.4433367699</v>
      </c>
      <c r="Q22" s="68"/>
    </row>
    <row r="23" spans="2:17" x14ac:dyDescent="0.2">
      <c r="B23" s="32" t="s">
        <v>30</v>
      </c>
      <c r="C23" s="33">
        <f>SUMIF('Entrada 7TRAN'!$E$8:$E$43,'Reliquidación 7TRAN'!$B23,'Entrada 7TRAN'!F$8:F$43)</f>
        <v>4035448</v>
      </c>
      <c r="D23" s="33">
        <f>SUMIF('Entrada 7TRAN'!$E$8:$E$43,'Reliquidación 7TRAN'!$B23,'Entrada 7TRAN'!G$8:G$43)</f>
        <v>13663454</v>
      </c>
      <c r="E23" s="33">
        <f>SUMIF('Entrada 7TRAN'!$E$8:$E$43,'Reliquidación 7TRAN'!$B23,'Entrada 7TRAN'!H$8:H$43)</f>
        <v>687984</v>
      </c>
      <c r="F23" s="33">
        <f>SUMIF('Entrada 7TRAN'!$E$8:$E$43,'Reliquidación 7TRAN'!$B23,'Entrada 7TRAN'!I$8:I$43)</f>
        <v>116064</v>
      </c>
      <c r="G23" s="33">
        <f>SUMIF('Entrada 7TRAN'!$E$8:$E$43,'Reliquidación 7TRAN'!$B23,'Entrada 7TRAN'!J$8:J$43)</f>
        <v>11931969.26081799</v>
      </c>
      <c r="H23" s="33">
        <v>2359233.4755770555</v>
      </c>
      <c r="I23" s="33">
        <f t="shared" si="0"/>
        <v>2382252.5892664432</v>
      </c>
      <c r="J23" s="33">
        <v>0</v>
      </c>
      <c r="K23" s="33">
        <f t="shared" si="3"/>
        <v>0</v>
      </c>
      <c r="L23" s="33">
        <f t="shared" si="1"/>
        <v>14314221.850084433</v>
      </c>
      <c r="M23" s="33">
        <f t="shared" si="4"/>
        <v>0</v>
      </c>
      <c r="N23" s="33">
        <f t="shared" si="6"/>
        <v>14314221.850084433</v>
      </c>
      <c r="O23" s="33">
        <f t="shared" si="2"/>
        <v>-11252253.908090238</v>
      </c>
      <c r="P23" s="33">
        <f t="shared" si="5"/>
        <v>3061967.9419941958</v>
      </c>
      <c r="Q23" s="68"/>
    </row>
    <row r="24" spans="2:17" x14ac:dyDescent="0.2">
      <c r="B24" s="32" t="s">
        <v>31</v>
      </c>
      <c r="C24" s="33">
        <f>SUMIF('Entrada 7TRAN'!$E$8:$E$43,'Reliquidación 7TRAN'!$B24,'Entrada 7TRAN'!F$8:F$43)</f>
        <v>1680286</v>
      </c>
      <c r="D24" s="33">
        <f>SUMIF('Entrada 7TRAN'!$E$8:$E$43,'Reliquidación 7TRAN'!$B24,'Entrada 7TRAN'!G$8:G$43)</f>
        <v>13303288</v>
      </c>
      <c r="E24" s="33">
        <f>SUMIF('Entrada 7TRAN'!$E$8:$E$43,'Reliquidación 7TRAN'!$B24,'Entrada 7TRAN'!H$8:H$43)</f>
        <v>85</v>
      </c>
      <c r="F24" s="33">
        <f>SUMIF('Entrada 7TRAN'!$E$8:$E$43,'Reliquidación 7TRAN'!$B24,'Entrada 7TRAN'!I$8:I$43)</f>
        <v>62987</v>
      </c>
      <c r="G24" s="33">
        <f>SUMIF('Entrada 7TRAN'!$E$8:$E$43,'Reliquidación 7TRAN'!$B24,'Entrada 7TRAN'!J$8:J$43)</f>
        <v>10027677.736917689</v>
      </c>
      <c r="H24" s="33">
        <v>1872403.5445869556</v>
      </c>
      <c r="I24" s="33">
        <f t="shared" si="0"/>
        <v>1890672.6436445287</v>
      </c>
      <c r="J24" s="33">
        <v>0</v>
      </c>
      <c r="K24" s="33">
        <f t="shared" si="3"/>
        <v>0</v>
      </c>
      <c r="L24" s="33">
        <f t="shared" si="1"/>
        <v>11918350.380562218</v>
      </c>
      <c r="M24" s="33">
        <f t="shared" si="4"/>
        <v>0</v>
      </c>
      <c r="N24" s="33">
        <f t="shared" si="6"/>
        <v>11918350.380562218</v>
      </c>
      <c r="O24" s="33">
        <f t="shared" si="2"/>
        <v>-9368885.4380078614</v>
      </c>
      <c r="P24" s="33">
        <f t="shared" si="5"/>
        <v>2549464.9425543565</v>
      </c>
      <c r="Q24" s="68"/>
    </row>
    <row r="25" spans="2:17" x14ac:dyDescent="0.2">
      <c r="B25" s="32" t="s">
        <v>32</v>
      </c>
      <c r="C25" s="33">
        <f>SUMIF('Entrada 7TRAN'!$E$8:$E$43,'Reliquidación 7TRAN'!$B25,'Entrada 7TRAN'!F$8:F$43)</f>
        <v>422574</v>
      </c>
      <c r="D25" s="33">
        <f>SUMIF('Entrada 7TRAN'!$E$8:$E$43,'Reliquidación 7TRAN'!$B25,'Entrada 7TRAN'!G$8:G$43)</f>
        <v>2515825</v>
      </c>
      <c r="E25" s="33">
        <f>SUMIF('Entrada 7TRAN'!$E$8:$E$43,'Reliquidación 7TRAN'!$B25,'Entrada 7TRAN'!H$8:H$43)</f>
        <v>93373</v>
      </c>
      <c r="F25" s="33">
        <f>SUMIF('Entrada 7TRAN'!$E$8:$E$43,'Reliquidación 7TRAN'!$B25,'Entrada 7TRAN'!I$8:I$43)</f>
        <v>37668</v>
      </c>
      <c r="G25" s="33">
        <f>SUMIF('Entrada 7TRAN'!$E$8:$E$43,'Reliquidación 7TRAN'!$B25,'Entrada 7TRAN'!J$8:J$43)</f>
        <v>2370370.3557930738</v>
      </c>
      <c r="H25" s="33">
        <v>390341.41085881181</v>
      </c>
      <c r="I25" s="33">
        <f t="shared" si="0"/>
        <v>394149.98402770399</v>
      </c>
      <c r="J25" s="33">
        <v>0</v>
      </c>
      <c r="K25" s="33">
        <f t="shared" si="3"/>
        <v>0</v>
      </c>
      <c r="L25" s="33">
        <f t="shared" si="1"/>
        <v>2764520.339820778</v>
      </c>
      <c r="M25" s="33">
        <f t="shared" si="4"/>
        <v>0</v>
      </c>
      <c r="N25" s="33">
        <f t="shared" si="6"/>
        <v>2764520.339820778</v>
      </c>
      <c r="O25" s="33">
        <f t="shared" si="2"/>
        <v>-2173159.3322734348</v>
      </c>
      <c r="P25" s="33">
        <f t="shared" si="5"/>
        <v>591361.00754734315</v>
      </c>
      <c r="Q25" s="68"/>
    </row>
    <row r="26" spans="2:17" x14ac:dyDescent="0.2">
      <c r="B26" s="32" t="s">
        <v>33</v>
      </c>
      <c r="C26" s="33">
        <f>SUMIF('Entrada 7TRAN'!$E$8:$E$43,'Reliquidación 7TRAN'!$B26,'Entrada 7TRAN'!F$8:F$43)</f>
        <v>1033516</v>
      </c>
      <c r="D26" s="33">
        <f>SUMIF('Entrada 7TRAN'!$E$8:$E$43,'Reliquidación 7TRAN'!$B26,'Entrada 7TRAN'!G$8:G$43)</f>
        <v>1899168</v>
      </c>
      <c r="E26" s="33">
        <f>SUMIF('Entrada 7TRAN'!$E$8:$E$43,'Reliquidación 7TRAN'!$B26,'Entrada 7TRAN'!H$8:H$43)</f>
        <v>102954</v>
      </c>
      <c r="F26" s="33">
        <f>SUMIF('Entrada 7TRAN'!$E$8:$E$43,'Reliquidación 7TRAN'!$B26,'Entrada 7TRAN'!I$8:I$43)</f>
        <v>6473</v>
      </c>
      <c r="G26" s="33">
        <f>SUMIF('Entrada 7TRAN'!$E$8:$E$43,'Reliquidación 7TRAN'!$B26,'Entrada 7TRAN'!J$8:J$43)</f>
        <v>2233429.155970138</v>
      </c>
      <c r="H26" s="33">
        <v>413725.10329327616</v>
      </c>
      <c r="I26" s="33">
        <f t="shared" si="0"/>
        <v>417761.83186950674</v>
      </c>
      <c r="J26" s="33">
        <v>0</v>
      </c>
      <c r="K26" s="33">
        <f t="shared" si="3"/>
        <v>0</v>
      </c>
      <c r="L26" s="33">
        <f t="shared" si="1"/>
        <v>2651190.9878396448</v>
      </c>
      <c r="M26" s="33">
        <f t="shared" si="4"/>
        <v>0</v>
      </c>
      <c r="N26" s="33">
        <f t="shared" si="6"/>
        <v>2651190.9878396448</v>
      </c>
      <c r="O26" s="33">
        <f t="shared" si="2"/>
        <v>-2084072.3628882626</v>
      </c>
      <c r="P26" s="33">
        <f t="shared" si="5"/>
        <v>567118.62495138217</v>
      </c>
      <c r="Q26" s="68"/>
    </row>
    <row r="27" spans="2:17" x14ac:dyDescent="0.2">
      <c r="B27" s="32" t="s">
        <v>34</v>
      </c>
      <c r="C27" s="33">
        <f>SUMIF('Entrada 7TRAN'!$E$8:$E$43,'Reliquidación 7TRAN'!$B27,'Entrada 7TRAN'!F$8:F$43)</f>
        <v>1232712</v>
      </c>
      <c r="D27" s="33">
        <f>SUMIF('Entrada 7TRAN'!$E$8:$E$43,'Reliquidación 7TRAN'!$B27,'Entrada 7TRAN'!G$8:G$43)</f>
        <v>6789432</v>
      </c>
      <c r="E27" s="33">
        <f>SUMIF('Entrada 7TRAN'!$E$8:$E$43,'Reliquidación 7TRAN'!$B27,'Entrada 7TRAN'!H$8:H$43)</f>
        <v>267955</v>
      </c>
      <c r="F27" s="33">
        <f>SUMIF('Entrada 7TRAN'!$E$8:$E$43,'Reliquidación 7TRAN'!$B27,'Entrada 7TRAN'!I$8:I$43)</f>
        <v>76826</v>
      </c>
      <c r="G27" s="33">
        <f>SUMIF('Entrada 7TRAN'!$E$8:$E$43,'Reliquidación 7TRAN'!$B27,'Entrada 7TRAN'!J$8:J$43)</f>
        <v>4825462.7529364359</v>
      </c>
      <c r="H27" s="33">
        <v>967410.75456155231</v>
      </c>
      <c r="I27" s="33">
        <f t="shared" si="0"/>
        <v>976849.81109161535</v>
      </c>
      <c r="J27" s="33">
        <v>0</v>
      </c>
      <c r="K27" s="33">
        <f t="shared" si="3"/>
        <v>0</v>
      </c>
      <c r="L27" s="33">
        <f t="shared" si="1"/>
        <v>5802312.5640280508</v>
      </c>
      <c r="M27" s="33">
        <f t="shared" si="4"/>
        <v>0</v>
      </c>
      <c r="N27" s="33">
        <f t="shared" si="6"/>
        <v>5802312.5640280508</v>
      </c>
      <c r="O27" s="33">
        <f t="shared" si="2"/>
        <v>-4561134.7168103736</v>
      </c>
      <c r="P27" s="33">
        <f t="shared" si="5"/>
        <v>1241177.8472176772</v>
      </c>
      <c r="Q27" s="68"/>
    </row>
    <row r="28" spans="2:17" x14ac:dyDescent="0.2">
      <c r="B28" s="32" t="s">
        <v>35</v>
      </c>
      <c r="C28" s="33">
        <f>SUMIF('Entrada 7TRAN'!$E$8:$E$43,'Reliquidación 7TRAN'!$B28,'Entrada 7TRAN'!F$8:F$43)</f>
        <v>18146722.66</v>
      </c>
      <c r="D28" s="33">
        <f>SUMIF('Entrada 7TRAN'!$E$8:$E$43,'Reliquidación 7TRAN'!$B28,'Entrada 7TRAN'!G$8:G$43)</f>
        <v>65344272.25</v>
      </c>
      <c r="E28" s="33">
        <f>SUMIF('Entrada 7TRAN'!$E$8:$E$43,'Reliquidación 7TRAN'!$B28,'Entrada 7TRAN'!H$8:H$43)</f>
        <v>283367.23</v>
      </c>
      <c r="F28" s="33">
        <f>SUMIF('Entrada 7TRAN'!$E$8:$E$43,'Reliquidación 7TRAN'!$B28,'Entrada 7TRAN'!I$8:I$43)</f>
        <v>110007.8</v>
      </c>
      <c r="G28" s="33">
        <f>SUMIF('Entrada 7TRAN'!$E$8:$E$43,'Reliquidación 7TRAN'!$B28,'Entrada 7TRAN'!J$8:J$43)</f>
        <v>46945515.320332028</v>
      </c>
      <c r="H28" s="33">
        <v>7931228.9139392078</v>
      </c>
      <c r="I28" s="33">
        <f t="shared" si="0"/>
        <v>8008614.1587471096</v>
      </c>
      <c r="J28" s="33">
        <v>0</v>
      </c>
      <c r="K28" s="33">
        <f t="shared" si="3"/>
        <v>0</v>
      </c>
      <c r="L28" s="33">
        <f t="shared" si="1"/>
        <v>54954129.479079135</v>
      </c>
      <c r="M28" s="33">
        <f t="shared" si="4"/>
        <v>0</v>
      </c>
      <c r="N28" s="33">
        <f t="shared" si="6"/>
        <v>54954129.479079135</v>
      </c>
      <c r="O28" s="33">
        <f t="shared" si="2"/>
        <v>-43198842.708520532</v>
      </c>
      <c r="P28" s="33">
        <f t="shared" si="5"/>
        <v>11755286.770558603</v>
      </c>
      <c r="Q28" s="68"/>
    </row>
    <row r="29" spans="2:17" x14ac:dyDescent="0.2">
      <c r="B29" s="32" t="s">
        <v>36</v>
      </c>
      <c r="C29" s="33">
        <f>SUMIF('Entrada 7TRAN'!$E$8:$E$43,'Reliquidación 7TRAN'!$B29,'Entrada 7TRAN'!F$8:F$43)</f>
        <v>7623977.3300000001</v>
      </c>
      <c r="D29" s="33">
        <f>SUMIF('Entrada 7TRAN'!$E$8:$E$43,'Reliquidación 7TRAN'!$B29,'Entrada 7TRAN'!G$8:G$43)</f>
        <v>6686820.3399999999</v>
      </c>
      <c r="E29" s="33">
        <f>SUMIF('Entrada 7TRAN'!$E$8:$E$43,'Reliquidación 7TRAN'!$B29,'Entrada 7TRAN'!H$8:H$43)</f>
        <v>128632</v>
      </c>
      <c r="F29" s="33">
        <f>SUMIF('Entrada 7TRAN'!$E$8:$E$43,'Reliquidación 7TRAN'!$B29,'Entrada 7TRAN'!I$8:I$43)</f>
        <v>6261</v>
      </c>
      <c r="G29" s="33">
        <f>SUMIF('Entrada 7TRAN'!$E$8:$E$43,'Reliquidación 7TRAN'!$B29,'Entrada 7TRAN'!J$8:J$43)</f>
        <v>10258763.20482293</v>
      </c>
      <c r="H29" s="33">
        <v>1803356.5004339227</v>
      </c>
      <c r="I29" s="33">
        <f t="shared" si="0"/>
        <v>1820951.9053549347</v>
      </c>
      <c r="J29" s="33">
        <v>0</v>
      </c>
      <c r="K29" s="33">
        <f t="shared" si="3"/>
        <v>0</v>
      </c>
      <c r="L29" s="33">
        <f t="shared" si="1"/>
        <v>12079715.110177863</v>
      </c>
      <c r="M29" s="33">
        <f t="shared" si="4"/>
        <v>0</v>
      </c>
      <c r="N29" s="33">
        <f t="shared" si="6"/>
        <v>12079715.110177863</v>
      </c>
      <c r="O29" s="33">
        <f t="shared" si="2"/>
        <v>-9495732.4946248345</v>
      </c>
      <c r="P29" s="33">
        <f t="shared" si="5"/>
        <v>2583982.6155530289</v>
      </c>
      <c r="Q29" s="68"/>
    </row>
    <row r="30" spans="2:17" x14ac:dyDescent="0.2">
      <c r="B30" s="32" t="s">
        <v>37</v>
      </c>
      <c r="C30" s="33">
        <f>SUMIF('Entrada 7TRAN'!$E$8:$E$43,'Reliquidación 7TRAN'!$B30,'Entrada 7TRAN'!F$8:F$43)</f>
        <v>39086898.990000002</v>
      </c>
      <c r="D30" s="33">
        <f>SUMIF('Entrada 7TRAN'!$E$8:$E$43,'Reliquidación 7TRAN'!$B30,'Entrada 7TRAN'!G$8:G$43)</f>
        <v>116325295.42</v>
      </c>
      <c r="E30" s="33">
        <f>SUMIF('Entrada 7TRAN'!$E$8:$E$43,'Reliquidación 7TRAN'!$B30,'Entrada 7TRAN'!H$8:H$43)</f>
        <v>139457.94</v>
      </c>
      <c r="F30" s="33">
        <f>SUMIF('Entrada 7TRAN'!$E$8:$E$43,'Reliquidación 7TRAN'!$B30,'Entrada 7TRAN'!I$8:I$43)</f>
        <v>133164.53</v>
      </c>
      <c r="G30" s="33">
        <f>SUMIF('Entrada 7TRAN'!$E$8:$E$43,'Reliquidación 7TRAN'!$B30,'Entrada 7TRAN'!J$8:J$43)</f>
        <v>105491796.6733509</v>
      </c>
      <c r="H30" s="33">
        <v>20735861.384408504</v>
      </c>
      <c r="I30" s="33">
        <f t="shared" si="0"/>
        <v>20938181.82263403</v>
      </c>
      <c r="J30" s="33">
        <v>0</v>
      </c>
      <c r="K30" s="33">
        <f t="shared" si="3"/>
        <v>0</v>
      </c>
      <c r="L30" s="33">
        <f t="shared" si="1"/>
        <v>126429978.49598493</v>
      </c>
      <c r="M30" s="33">
        <f t="shared" si="4"/>
        <v>0</v>
      </c>
      <c r="N30" s="33">
        <f t="shared" si="6"/>
        <v>126429978.49598493</v>
      </c>
      <c r="O30" s="33">
        <f t="shared" si="2"/>
        <v>-99385229.216830939</v>
      </c>
      <c r="P30" s="33">
        <f t="shared" si="5"/>
        <v>27044749.279153988</v>
      </c>
      <c r="Q30" s="68"/>
    </row>
    <row r="31" spans="2:17" x14ac:dyDescent="0.2">
      <c r="B31" s="32" t="s">
        <v>38</v>
      </c>
      <c r="C31" s="33">
        <f>SUMIF('Entrada 7TRAN'!$E$8:$E$43,'Reliquidación 7TRAN'!$B31,'Entrada 7TRAN'!F$8:F$43)</f>
        <v>1633663</v>
      </c>
      <c r="D31" s="33">
        <f>SUMIF('Entrada 7TRAN'!$E$8:$E$43,'Reliquidación 7TRAN'!$B31,'Entrada 7TRAN'!G$8:G$43)</f>
        <v>2991038</v>
      </c>
      <c r="E31" s="33">
        <f>SUMIF('Entrada 7TRAN'!$E$8:$E$43,'Reliquidación 7TRAN'!$B31,'Entrada 7TRAN'!H$8:H$43)</f>
        <v>29315</v>
      </c>
      <c r="F31" s="33">
        <f>SUMIF('Entrada 7TRAN'!$E$8:$E$43,'Reliquidación 7TRAN'!$B31,'Entrada 7TRAN'!I$8:I$43)</f>
        <v>38586</v>
      </c>
      <c r="G31" s="33">
        <f>SUMIF('Entrada 7TRAN'!$E$8:$E$43,'Reliquidación 7TRAN'!$B31,'Entrada 7TRAN'!J$8:J$43)</f>
        <v>2744025.840553659</v>
      </c>
      <c r="H31" s="33">
        <v>455286.00385649037</v>
      </c>
      <c r="I31" s="33">
        <f t="shared" si="0"/>
        <v>459728.24341965874</v>
      </c>
      <c r="J31" s="33">
        <v>0</v>
      </c>
      <c r="K31" s="33">
        <f t="shared" si="3"/>
        <v>0</v>
      </c>
      <c r="L31" s="33">
        <f t="shared" si="1"/>
        <v>3203754.0839733179</v>
      </c>
      <c r="M31" s="33">
        <f t="shared" si="4"/>
        <v>0</v>
      </c>
      <c r="N31" s="33">
        <f t="shared" si="6"/>
        <v>3203754.0839733179</v>
      </c>
      <c r="O31" s="33">
        <f t="shared" si="2"/>
        <v>-2518436.1951003424</v>
      </c>
      <c r="P31" s="33">
        <f t="shared" si="5"/>
        <v>685317.88887297548</v>
      </c>
      <c r="Q31" s="68"/>
    </row>
    <row r="32" spans="2:17" x14ac:dyDescent="0.2">
      <c r="B32" s="32" t="s">
        <v>39</v>
      </c>
      <c r="C32" s="33">
        <f>SUMIF('Entrada 7TRAN'!$E$8:$E$43,'Reliquidación 7TRAN'!$B32,'Entrada 7TRAN'!F$8:F$43)</f>
        <v>32427172.100000001</v>
      </c>
      <c r="D32" s="33">
        <f>SUMIF('Entrada 7TRAN'!$E$8:$E$43,'Reliquidación 7TRAN'!$B32,'Entrada 7TRAN'!G$8:G$43)</f>
        <v>132226811.75320999</v>
      </c>
      <c r="E32" s="33">
        <f>SUMIF('Entrada 7TRAN'!$E$8:$E$43,'Reliquidación 7TRAN'!$B32,'Entrada 7TRAN'!H$8:H$43)</f>
        <v>2256334.4</v>
      </c>
      <c r="F32" s="33">
        <f>SUMIF('Entrada 7TRAN'!$E$8:$E$43,'Reliquidación 7TRAN'!$B32,'Entrada 7TRAN'!I$8:I$43)</f>
        <v>621627.5</v>
      </c>
      <c r="G32" s="33">
        <f>SUMIF('Entrada 7TRAN'!$E$8:$E$43,'Reliquidación 7TRAN'!$B32,'Entrada 7TRAN'!J$8:J$43)</f>
        <v>-122976789.99862771</v>
      </c>
      <c r="H32" s="33">
        <v>0</v>
      </c>
      <c r="I32" s="33">
        <f t="shared" si="0"/>
        <v>0</v>
      </c>
      <c r="J32" s="33">
        <v>0</v>
      </c>
      <c r="K32" s="33">
        <f t="shared" si="3"/>
        <v>0</v>
      </c>
      <c r="L32" s="33">
        <f t="shared" si="1"/>
        <v>-122976789.99862771</v>
      </c>
      <c r="M32" s="33">
        <f t="shared" si="4"/>
        <v>122976789.99862771</v>
      </c>
      <c r="N32" s="33">
        <f t="shared" si="6"/>
        <v>0</v>
      </c>
      <c r="O32" s="33">
        <f t="shared" si="2"/>
        <v>122976789.99862771</v>
      </c>
      <c r="P32" s="33">
        <f t="shared" si="5"/>
        <v>0</v>
      </c>
      <c r="Q32" s="68"/>
    </row>
    <row r="33" spans="2:17" x14ac:dyDescent="0.2">
      <c r="B33" s="32" t="s">
        <v>40</v>
      </c>
      <c r="C33" s="33">
        <f>SUMIF('Entrada 7TRAN'!$E$8:$E$43,'Reliquidación 7TRAN'!$B33,'Entrada 7TRAN'!F$8:F$43)</f>
        <v>1140659.8</v>
      </c>
      <c r="D33" s="33">
        <f>SUMIF('Entrada 7TRAN'!$E$8:$E$43,'Reliquidación 7TRAN'!$B33,'Entrada 7TRAN'!G$8:G$43)</f>
        <v>2185959.2999999998</v>
      </c>
      <c r="E33" s="33">
        <f>SUMIF('Entrada 7TRAN'!$E$8:$E$43,'Reliquidación 7TRAN'!$B33,'Entrada 7TRAN'!H$8:H$43)</f>
        <v>68454</v>
      </c>
      <c r="F33" s="33">
        <f>SUMIF('Entrada 7TRAN'!$E$8:$E$43,'Reliquidación 7TRAN'!$B33,'Entrada 7TRAN'!I$8:I$43)</f>
        <v>105087</v>
      </c>
      <c r="G33" s="33">
        <f>SUMIF('Entrada 7TRAN'!$E$8:$E$43,'Reliquidación 7TRAN'!$B33,'Entrada 7TRAN'!J$8:J$43)</f>
        <v>2245052.9382358948</v>
      </c>
      <c r="H33" s="33">
        <v>379798.52253743052</v>
      </c>
      <c r="I33" s="33">
        <f t="shared" si="0"/>
        <v>383504.22842023306</v>
      </c>
      <c r="J33" s="33">
        <v>0</v>
      </c>
      <c r="K33" s="33">
        <f t="shared" si="3"/>
        <v>0</v>
      </c>
      <c r="L33" s="33">
        <f t="shared" si="1"/>
        <v>2628557.1666561277</v>
      </c>
      <c r="M33" s="33">
        <f t="shared" si="4"/>
        <v>0</v>
      </c>
      <c r="N33" s="33">
        <f t="shared" si="6"/>
        <v>2628557.1666561277</v>
      </c>
      <c r="O33" s="33">
        <f t="shared" si="2"/>
        <v>-2066280.1625483087</v>
      </c>
      <c r="P33" s="33">
        <f t="shared" si="5"/>
        <v>562277.00410781894</v>
      </c>
      <c r="Q33" s="68"/>
    </row>
    <row r="34" spans="2:17" x14ac:dyDescent="0.2">
      <c r="B34" s="32" t="s">
        <v>41</v>
      </c>
      <c r="C34" s="33">
        <f>SUMIF('Entrada 7TRAN'!$E$8:$E$43,'Reliquidación 7TRAN'!$B34,'Entrada 7TRAN'!F$8:F$43)</f>
        <v>1292871.5</v>
      </c>
      <c r="D34" s="33">
        <f>SUMIF('Entrada 7TRAN'!$E$8:$E$43,'Reliquidación 7TRAN'!$B34,'Entrada 7TRAN'!G$8:G$43)</f>
        <v>9543185.6530000009</v>
      </c>
      <c r="E34" s="33">
        <f>SUMIF('Entrada 7TRAN'!$E$8:$E$43,'Reliquidación 7TRAN'!$B34,'Entrada 7TRAN'!H$8:H$43)</f>
        <v>11389</v>
      </c>
      <c r="F34" s="33">
        <f>SUMIF('Entrada 7TRAN'!$E$8:$E$43,'Reliquidación 7TRAN'!$B34,'Entrada 7TRAN'!I$8:I$43)</f>
        <v>38559</v>
      </c>
      <c r="G34" s="33">
        <f>SUMIF('Entrada 7TRAN'!$E$8:$E$43,'Reliquidación 7TRAN'!$B34,'Entrada 7TRAN'!J$8:J$43)</f>
        <v>7384772.5435923096</v>
      </c>
      <c r="H34" s="33">
        <v>1290113.4122616071</v>
      </c>
      <c r="I34" s="33">
        <f t="shared" si="0"/>
        <v>1302701.0885626101</v>
      </c>
      <c r="J34" s="33">
        <v>0</v>
      </c>
      <c r="K34" s="33">
        <f t="shared" si="3"/>
        <v>0</v>
      </c>
      <c r="L34" s="33">
        <f t="shared" si="1"/>
        <v>8687473.6321549192</v>
      </c>
      <c r="M34" s="33">
        <f t="shared" si="4"/>
        <v>0</v>
      </c>
      <c r="N34" s="33">
        <f t="shared" si="6"/>
        <v>8687473.6321549192</v>
      </c>
      <c r="O34" s="33">
        <f t="shared" si="2"/>
        <v>-6829128.41177388</v>
      </c>
      <c r="P34" s="33">
        <f t="shared" si="5"/>
        <v>1858345.2203810392</v>
      </c>
      <c r="Q34" s="68"/>
    </row>
    <row r="35" spans="2:17" x14ac:dyDescent="0.2">
      <c r="B35" s="32" t="s">
        <v>42</v>
      </c>
      <c r="C35" s="33">
        <f>SUMIF('Entrada 7TRAN'!$E$8:$E$43,'Reliquidación 7TRAN'!$B35,'Entrada 7TRAN'!F$8:F$43)</f>
        <v>2279830.2000000002</v>
      </c>
      <c r="D35" s="33">
        <f>SUMIF('Entrada 7TRAN'!$E$8:$E$43,'Reliquidación 7TRAN'!$B35,'Entrada 7TRAN'!G$8:G$43)</f>
        <v>5982451.7654999997</v>
      </c>
      <c r="E35" s="33">
        <f>SUMIF('Entrada 7TRAN'!$E$8:$E$43,'Reliquidación 7TRAN'!$B35,'Entrada 7TRAN'!H$8:H$43)</f>
        <v>235307</v>
      </c>
      <c r="F35" s="33">
        <f>SUMIF('Entrada 7TRAN'!$E$8:$E$43,'Reliquidación 7TRAN'!$B35,'Entrada 7TRAN'!I$8:I$43)</f>
        <v>43330.176800000001</v>
      </c>
      <c r="G35" s="33">
        <f>SUMIF('Entrada 7TRAN'!$E$8:$E$43,'Reliquidación 7TRAN'!$B35,'Entrada 7TRAN'!J$8:J$43)</f>
        <v>4709351.3544560764</v>
      </c>
      <c r="H35" s="33">
        <v>901242.36875186348</v>
      </c>
      <c r="I35" s="33">
        <f t="shared" si="0"/>
        <v>910035.81830348878</v>
      </c>
      <c r="J35" s="33">
        <v>0</v>
      </c>
      <c r="K35" s="33">
        <f t="shared" si="3"/>
        <v>0</v>
      </c>
      <c r="L35" s="33">
        <f t="shared" si="1"/>
        <v>5619387.1727595655</v>
      </c>
      <c r="M35" s="33">
        <f t="shared" si="4"/>
        <v>0</v>
      </c>
      <c r="N35" s="33">
        <f t="shared" si="6"/>
        <v>5619387.1727595655</v>
      </c>
      <c r="O35" s="33">
        <f t="shared" si="2"/>
        <v>-4417339.0588733265</v>
      </c>
      <c r="P35" s="33">
        <f t="shared" si="5"/>
        <v>1202048.113886239</v>
      </c>
      <c r="Q35" s="68"/>
    </row>
    <row r="36" spans="2:17" x14ac:dyDescent="0.2">
      <c r="B36" s="32" t="s">
        <v>43</v>
      </c>
      <c r="C36" s="33">
        <f>SUMIF('Entrada 7TRAN'!$E$8:$E$43,'Reliquidación 7TRAN'!$B36,'Entrada 7TRAN'!F$8:F$43)</f>
        <v>1736762.9001</v>
      </c>
      <c r="D36" s="33">
        <f>SUMIF('Entrada 7TRAN'!$E$8:$E$43,'Reliquidación 7TRAN'!$B36,'Entrada 7TRAN'!G$8:G$43)</f>
        <v>4296663.1634999998</v>
      </c>
      <c r="E36" s="33">
        <f>SUMIF('Entrada 7TRAN'!$E$8:$E$43,'Reliquidación 7TRAN'!$B36,'Entrada 7TRAN'!H$8:H$43)</f>
        <v>316227.20000000001</v>
      </c>
      <c r="F36" s="33">
        <f>SUMIF('Entrada 7TRAN'!$E$8:$E$43,'Reliquidación 7TRAN'!$B36,'Entrada 7TRAN'!I$8:I$43)</f>
        <v>72725.100000000006</v>
      </c>
      <c r="G36" s="33">
        <f>SUMIF('Entrada 7TRAN'!$E$8:$E$43,'Reliquidación 7TRAN'!$B36,'Entrada 7TRAN'!J$8:J$43)</f>
        <v>3460730.491394124</v>
      </c>
      <c r="H36" s="33">
        <v>621093.37091065105</v>
      </c>
      <c r="I36" s="33">
        <f t="shared" si="0"/>
        <v>627153.39806130028</v>
      </c>
      <c r="J36" s="33">
        <v>0</v>
      </c>
      <c r="K36" s="33">
        <f t="shared" si="3"/>
        <v>0</v>
      </c>
      <c r="L36" s="33">
        <f t="shared" si="1"/>
        <v>4087883.8894554242</v>
      </c>
      <c r="M36" s="33">
        <f t="shared" si="4"/>
        <v>0</v>
      </c>
      <c r="N36" s="33">
        <f t="shared" si="6"/>
        <v>4087883.8894554242</v>
      </c>
      <c r="O36" s="33">
        <f t="shared" si="2"/>
        <v>-3213441.0066218586</v>
      </c>
      <c r="P36" s="33">
        <f t="shared" si="5"/>
        <v>874442.88283356559</v>
      </c>
      <c r="Q36" s="68"/>
    </row>
    <row r="37" spans="2:17" x14ac:dyDescent="0.2">
      <c r="B37" s="32" t="s">
        <v>45</v>
      </c>
      <c r="C37" s="33">
        <f>SUMIF('Entrada 7TRAN'!$E$8:$E$43,'Reliquidación 7TRAN'!$B37,'Entrada 7TRAN'!F$8:F$43)</f>
        <v>500440.00000000012</v>
      </c>
      <c r="D37" s="33">
        <f>SUMIF('Entrada 7TRAN'!$E$8:$E$43,'Reliquidación 7TRAN'!$B37,'Entrada 7TRAN'!G$8:G$43)</f>
        <v>824926</v>
      </c>
      <c r="E37" s="33">
        <f>SUMIF('Entrada 7TRAN'!$E$8:$E$43,'Reliquidación 7TRAN'!$B37,'Entrada 7TRAN'!H$8:H$43)</f>
        <v>31694</v>
      </c>
      <c r="F37" s="33">
        <f>SUMIF('Entrada 7TRAN'!$E$8:$E$43,'Reliquidación 7TRAN'!$B37,'Entrada 7TRAN'!I$8:I$43)</f>
        <v>11501</v>
      </c>
      <c r="G37" s="33">
        <f>SUMIF('Entrada 7TRAN'!$E$8:$E$43,'Reliquidación 7TRAN'!$B37,'Entrada 7TRAN'!J$8:J$43)</f>
        <v>761347.13323406805</v>
      </c>
      <c r="H37" s="33">
        <v>189372.58680939954</v>
      </c>
      <c r="I37" s="33">
        <f t="shared" si="0"/>
        <v>191220.30097187887</v>
      </c>
      <c r="J37" s="33">
        <v>0</v>
      </c>
      <c r="K37" s="33">
        <f t="shared" si="3"/>
        <v>0</v>
      </c>
      <c r="L37" s="33">
        <f t="shared" si="1"/>
        <v>952567.43420594698</v>
      </c>
      <c r="M37" s="33">
        <f t="shared" si="4"/>
        <v>0</v>
      </c>
      <c r="N37" s="33">
        <f t="shared" si="6"/>
        <v>952567.43420594698</v>
      </c>
      <c r="O37" s="33">
        <f t="shared" si="2"/>
        <v>-748802.88614502188</v>
      </c>
      <c r="P37" s="33">
        <f t="shared" si="5"/>
        <v>203764.5480609251</v>
      </c>
      <c r="Q37" s="68"/>
    </row>
    <row r="38" spans="2:17" x14ac:dyDescent="0.2">
      <c r="B38" s="32" t="s">
        <v>46</v>
      </c>
      <c r="C38" s="33">
        <f>SUMIF('Entrada 7TRAN'!$E$8:$E$43,'Reliquidación 7TRAN'!$B38,'Entrada 7TRAN'!F$8:F$43)</f>
        <v>4050077.4360000002</v>
      </c>
      <c r="D38" s="33">
        <f>SUMIF('Entrada 7TRAN'!$E$8:$E$43,'Reliquidación 7TRAN'!$B38,'Entrada 7TRAN'!G$8:G$43)</f>
        <v>16871536.622000001</v>
      </c>
      <c r="E38" s="33">
        <f>SUMIF('Entrada 7TRAN'!$E$8:$E$43,'Reliquidación 7TRAN'!$B38,'Entrada 7TRAN'!H$8:H$43)</f>
        <v>3639.0010000000002</v>
      </c>
      <c r="F38" s="33">
        <f>SUMIF('Entrada 7TRAN'!$E$8:$E$43,'Reliquidación 7TRAN'!$B38,'Entrada 7TRAN'!I$8:I$43)</f>
        <v>27289.016</v>
      </c>
      <c r="G38" s="33">
        <f>SUMIF('Entrada 7TRAN'!$E$8:$E$43,'Reliquidación 7TRAN'!$B38,'Entrada 7TRAN'!J$8:J$43)</f>
        <v>14822032.38832281</v>
      </c>
      <c r="H38" s="33">
        <v>2641230.9079096206</v>
      </c>
      <c r="I38" s="33">
        <f t="shared" si="0"/>
        <v>2667001.4792322512</v>
      </c>
      <c r="J38" s="33">
        <v>0</v>
      </c>
      <c r="K38" s="33">
        <f t="shared" si="3"/>
        <v>0</v>
      </c>
      <c r="L38" s="33">
        <f t="shared" si="1"/>
        <v>17489033.867555059</v>
      </c>
      <c r="M38" s="33">
        <f>IF(L38&lt;0,-L38,0)</f>
        <v>0</v>
      </c>
      <c r="N38" s="33">
        <f>IF(L38&gt;0,L38,0)</f>
        <v>17489033.867555059</v>
      </c>
      <c r="O38" s="33">
        <f t="shared" si="2"/>
        <v>-13747939.059904831</v>
      </c>
      <c r="P38" s="33">
        <f t="shared" si="5"/>
        <v>3741094.807650229</v>
      </c>
      <c r="Q38" s="68"/>
    </row>
    <row r="39" spans="2:17" x14ac:dyDescent="0.2">
      <c r="B39" s="32" t="s">
        <v>47</v>
      </c>
      <c r="C39" s="33">
        <f>SUMIF('Entrada 7TRAN'!$E$8:$E$43,'Reliquidación 7TRAN'!$B39,'Entrada 7TRAN'!F$8:F$43)</f>
        <v>5965058.4289999995</v>
      </c>
      <c r="D39" s="33">
        <f>SUMIF('Entrada 7TRAN'!$E$8:$E$43,'Reliquidación 7TRAN'!$B39,'Entrada 7TRAN'!G$8:G$43)</f>
        <v>26994305.197000001</v>
      </c>
      <c r="E39" s="33">
        <f>SUMIF('Entrada 7TRAN'!$E$8:$E$43,'Reliquidación 7TRAN'!$B39,'Entrada 7TRAN'!H$8:H$43)</f>
        <v>14725.08</v>
      </c>
      <c r="F39" s="33">
        <f>SUMIF('Entrada 7TRAN'!$E$8:$E$43,'Reliquidación 7TRAN'!$B39,'Entrada 7TRAN'!I$8:I$43)</f>
        <v>23232.508000000002</v>
      </c>
      <c r="G39" s="33">
        <f>SUMIF('Entrada 7TRAN'!$E$8:$E$43,'Reliquidación 7TRAN'!$B39,'Entrada 7TRAN'!J$8:J$43)</f>
        <v>21737050.612065919</v>
      </c>
      <c r="H39" s="33">
        <v>3879817.5181188043</v>
      </c>
      <c r="I39" s="33">
        <f t="shared" si="0"/>
        <v>3917673.017147704</v>
      </c>
      <c r="J39" s="33">
        <v>0</v>
      </c>
      <c r="K39" s="33">
        <f t="shared" si="3"/>
        <v>0</v>
      </c>
      <c r="L39" s="33">
        <f t="shared" si="1"/>
        <v>25654723.629213624</v>
      </c>
      <c r="M39" s="33">
        <f t="shared" si="4"/>
        <v>0</v>
      </c>
      <c r="N39" s="33">
        <f t="shared" si="6"/>
        <v>25654723.629213624</v>
      </c>
      <c r="O39" s="33">
        <f t="shared" si="2"/>
        <v>-20166898.853540629</v>
      </c>
      <c r="P39" s="33">
        <f t="shared" si="5"/>
        <v>5487824.7756729946</v>
      </c>
      <c r="Q39" s="68"/>
    </row>
    <row r="40" spans="2:17" x14ac:dyDescent="0.2">
      <c r="B40" s="32" t="s">
        <v>48</v>
      </c>
      <c r="C40" s="33">
        <f>SUMIF('Entrada 7TRAN'!$E$8:$E$43,'Reliquidación 7TRAN'!$B40,'Entrada 7TRAN'!F$8:F$43)</f>
        <v>13073514.904999999</v>
      </c>
      <c r="D40" s="33">
        <f>SUMIF('Entrada 7TRAN'!$E$8:$E$43,'Reliquidación 7TRAN'!$B40,'Entrada 7TRAN'!G$8:G$43)</f>
        <v>50157817.648999996</v>
      </c>
      <c r="E40" s="33">
        <f>SUMIF('Entrada 7TRAN'!$E$8:$E$43,'Reliquidación 7TRAN'!$B40,'Entrada 7TRAN'!H$8:H$43)</f>
        <v>30706.560000000001</v>
      </c>
      <c r="F40" s="33">
        <f>SUMIF('Entrada 7TRAN'!$E$8:$E$43,'Reliquidación 7TRAN'!$B40,'Entrada 7TRAN'!I$8:I$43)</f>
        <v>72807.678</v>
      </c>
      <c r="G40" s="33">
        <f>SUMIF('Entrada 7TRAN'!$E$8:$E$43,'Reliquidación 7TRAN'!$B40,'Entrada 7TRAN'!J$8:J$43)</f>
        <v>-106264244.3189258</v>
      </c>
      <c r="H40" s="33">
        <v>0</v>
      </c>
      <c r="I40" s="33">
        <f t="shared" si="0"/>
        <v>0</v>
      </c>
      <c r="J40" s="33">
        <v>0</v>
      </c>
      <c r="K40" s="33">
        <f t="shared" si="3"/>
        <v>0</v>
      </c>
      <c r="L40" s="33">
        <f t="shared" si="1"/>
        <v>-106264244.3189258</v>
      </c>
      <c r="M40" s="33">
        <f t="shared" si="4"/>
        <v>106264244.3189258</v>
      </c>
      <c r="N40" s="33">
        <f t="shared" si="6"/>
        <v>0</v>
      </c>
      <c r="O40" s="33">
        <f t="shared" si="2"/>
        <v>106264244.3189258</v>
      </c>
      <c r="P40" s="33">
        <f t="shared" si="5"/>
        <v>0</v>
      </c>
      <c r="Q40" s="68"/>
    </row>
    <row r="41" spans="2:17" x14ac:dyDescent="0.2">
      <c r="B41" s="32" t="s">
        <v>49</v>
      </c>
      <c r="C41" s="33">
        <f>SUMIF('Entrada 7TRAN'!$E$8:$E$43,'Reliquidación 7TRAN'!$B41,'Entrada 7TRAN'!F$8:F$43)</f>
        <v>0</v>
      </c>
      <c r="D41" s="33">
        <f>SUMIF('Entrada 7TRAN'!$E$8:$E$43,'Reliquidación 7TRAN'!$B41,'Entrada 7TRAN'!G$8:G$43)</f>
        <v>0</v>
      </c>
      <c r="E41" s="33">
        <f>SUMIF('Entrada 7TRAN'!$E$8:$E$43,'Reliquidación 7TRAN'!$B41,'Entrada 7TRAN'!H$8:H$43)</f>
        <v>0</v>
      </c>
      <c r="F41" s="33">
        <f>SUMIF('Entrada 7TRAN'!$E$8:$E$43,'Reliquidación 7TRAN'!$B41,'Entrada 7TRAN'!I$8:I$43)</f>
        <v>0</v>
      </c>
      <c r="G41" s="33">
        <f>SUMIF('Entrada 7TRAN'!$E$8:$E$43,'Reliquidación 7TRAN'!$B41,'Entrada 7TRAN'!J$8:J$43)</f>
        <v>0</v>
      </c>
      <c r="H41" s="33">
        <v>0</v>
      </c>
      <c r="I41" s="33">
        <f t="shared" si="0"/>
        <v>0</v>
      </c>
      <c r="J41" s="33">
        <v>0</v>
      </c>
      <c r="K41" s="33">
        <f t="shared" si="3"/>
        <v>0</v>
      </c>
      <c r="L41" s="33">
        <f t="shared" si="1"/>
        <v>0</v>
      </c>
      <c r="M41" s="33">
        <f>IF(L41&lt;0,-L41,0)</f>
        <v>0</v>
      </c>
      <c r="N41" s="33">
        <f>IF(L41&gt;0,L41,0)</f>
        <v>0</v>
      </c>
      <c r="O41" s="33">
        <f t="shared" si="2"/>
        <v>0</v>
      </c>
      <c r="P41" s="33">
        <f>L41+O41</f>
        <v>0</v>
      </c>
      <c r="Q41" s="68"/>
    </row>
    <row r="42" spans="2:17" x14ac:dyDescent="0.2">
      <c r="B42" s="32" t="s">
        <v>50</v>
      </c>
      <c r="C42" s="33">
        <f>SUMIF('Entrada 7TRAN'!$E$8:$E$43,'Reliquidación 7TRAN'!$B42,'Entrada 7TRAN'!F$8:F$43)</f>
        <v>0</v>
      </c>
      <c r="D42" s="33">
        <f>SUMIF('Entrada 7TRAN'!$E$8:$E$43,'Reliquidación 7TRAN'!$B42,'Entrada 7TRAN'!G$8:G$43)</f>
        <v>6319.3</v>
      </c>
      <c r="E42" s="33">
        <f>SUMIF('Entrada 7TRAN'!$E$8:$E$43,'Reliquidación 7TRAN'!$B42,'Entrada 7TRAN'!H$8:H$43)</f>
        <v>0</v>
      </c>
      <c r="F42" s="33">
        <f>SUMIF('Entrada 7TRAN'!$E$8:$E$43,'Reliquidación 7TRAN'!$B42,'Entrada 7TRAN'!I$8:I$43)</f>
        <v>0</v>
      </c>
      <c r="G42" s="33">
        <f>SUMIF('Entrada 7TRAN'!$E$8:$E$43,'Reliquidación 7TRAN'!$B42,'Entrada 7TRAN'!J$8:J$43)</f>
        <v>7030.7555468149994</v>
      </c>
      <c r="H42" s="33">
        <v>1056.8417954769293</v>
      </c>
      <c r="I42" s="33">
        <f t="shared" si="0"/>
        <v>1067.1534334278233</v>
      </c>
      <c r="J42" s="33">
        <v>0</v>
      </c>
      <c r="K42" s="33">
        <f t="shared" si="3"/>
        <v>0</v>
      </c>
      <c r="L42" s="33">
        <f t="shared" si="1"/>
        <v>8097.9089802428225</v>
      </c>
      <c r="M42" s="33">
        <f>IF(L42&lt;0,-L42,0)</f>
        <v>0</v>
      </c>
      <c r="N42" s="33">
        <f>IF(L42&gt;0,L42,0)</f>
        <v>8097.9089802428225</v>
      </c>
      <c r="O42" s="33">
        <f t="shared" si="2"/>
        <v>-6365.6780595278296</v>
      </c>
      <c r="P42" s="33">
        <f>L42+O42</f>
        <v>1732.2309207149929</v>
      </c>
      <c r="Q42" s="68"/>
    </row>
    <row r="43" spans="2:17" x14ac:dyDescent="0.2">
      <c r="B43" s="34" t="s">
        <v>51</v>
      </c>
      <c r="C43" s="35">
        <f>SUMIF('Entrada 7TRAN'!$E$8:$E$43,'Reliquidación 7TRAN'!$B43,'Entrada 7TRAN'!F$8:F$43)</f>
        <v>30000.9</v>
      </c>
      <c r="D43" s="35">
        <f>SUMIF('Entrada 7TRAN'!$E$8:$E$43,'Reliquidación 7TRAN'!$B43,'Entrada 7TRAN'!G$8:G$43)</f>
        <v>49706.2</v>
      </c>
      <c r="E43" s="35">
        <f>SUMIF('Entrada 7TRAN'!$E$8:$E$43,'Reliquidación 7TRAN'!$B43,'Entrada 7TRAN'!H$8:H$43)</f>
        <v>0</v>
      </c>
      <c r="F43" s="35">
        <f>SUMIF('Entrada 7TRAN'!$E$8:$E$43,'Reliquidación 7TRAN'!$B43,'Entrada 7TRAN'!I$8:I$43)</f>
        <v>0</v>
      </c>
      <c r="G43" s="35">
        <f>SUMIF('Entrada 7TRAN'!$E$8:$E$43,'Reliquidación 7TRAN'!$B43,'Entrada 7TRAN'!J$8:J$43)</f>
        <v>-2077724.0790498359</v>
      </c>
      <c r="H43" s="35">
        <v>0</v>
      </c>
      <c r="I43" s="35">
        <f t="shared" si="0"/>
        <v>0</v>
      </c>
      <c r="J43" s="35">
        <v>0</v>
      </c>
      <c r="K43" s="35">
        <f t="shared" si="3"/>
        <v>0</v>
      </c>
      <c r="L43" s="35">
        <f t="shared" si="1"/>
        <v>-2077724.0790498359</v>
      </c>
      <c r="M43" s="35">
        <f t="shared" si="4"/>
        <v>2077724.0790498359</v>
      </c>
      <c r="N43" s="35">
        <f t="shared" si="6"/>
        <v>0</v>
      </c>
      <c r="O43" s="35">
        <f>IF(OR($M$44=0,$N$44=0),0,((M43/$M$44-N43/$N$44)*$N$49))</f>
        <v>2077724.0790498359</v>
      </c>
      <c r="P43" s="35">
        <f t="shared" si="5"/>
        <v>0</v>
      </c>
      <c r="Q43" s="68"/>
    </row>
    <row r="44" spans="2:17" x14ac:dyDescent="0.2">
      <c r="B44" s="36" t="s">
        <v>66</v>
      </c>
      <c r="C44" s="13">
        <f t="shared" ref="C44:O44" si="7">SUM(C9:C43)</f>
        <v>418782840.21509999</v>
      </c>
      <c r="D44" s="13">
        <f t="shared" si="7"/>
        <v>1652358746.58022</v>
      </c>
      <c r="E44" s="13">
        <f t="shared" si="7"/>
        <v>12864231.053000001</v>
      </c>
      <c r="F44" s="13">
        <f t="shared" si="7"/>
        <v>4578213.0927999998</v>
      </c>
      <c r="G44" s="13">
        <f t="shared" si="7"/>
        <v>36578158.991357774</v>
      </c>
      <c r="H44" s="13">
        <f>SUM(H9:H43)</f>
        <v>154121278.00784865</v>
      </c>
      <c r="I44" s="13">
        <f>SUM(I9:I43)</f>
        <v>155625044.0645543</v>
      </c>
      <c r="J44" s="13">
        <f t="shared" ref="J44:K44" si="8">SUM(J9:J43)</f>
        <v>0</v>
      </c>
      <c r="K44" s="13">
        <f t="shared" si="8"/>
        <v>0</v>
      </c>
      <c r="L44" s="13">
        <f>SUM(L9:L43)</f>
        <v>192203203.05591202</v>
      </c>
      <c r="M44" s="13">
        <f t="shared" si="7"/>
        <v>706316749.13121819</v>
      </c>
      <c r="N44" s="13">
        <f t="shared" si="7"/>
        <v>898519952.18713009</v>
      </c>
      <c r="O44" s="13">
        <f t="shared" si="7"/>
        <v>-2.2281892597675323E-7</v>
      </c>
      <c r="P44" s="13">
        <f>SUM(P9:P43)</f>
        <v>192203203.05591196</v>
      </c>
    </row>
    <row r="45" spans="2:17" x14ac:dyDescent="0.2">
      <c r="B45" s="40"/>
      <c r="C45"/>
      <c r="D45"/>
      <c r="E45"/>
      <c r="F45"/>
      <c r="G45"/>
      <c r="H45"/>
      <c r="I45"/>
      <c r="J45"/>
      <c r="K45"/>
      <c r="L45"/>
      <c r="M45" s="41"/>
      <c r="N45" s="41"/>
      <c r="O45"/>
    </row>
    <row r="46" spans="2:17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7" x14ac:dyDescent="0.2">
      <c r="B47"/>
      <c r="C47"/>
      <c r="H47" s="48"/>
      <c r="I47" s="14"/>
      <c r="J47" s="14"/>
      <c r="K47" s="14"/>
      <c r="L47" s="14"/>
      <c r="M47" s="4" t="s">
        <v>91</v>
      </c>
      <c r="N47" s="43">
        <f>N44</f>
        <v>898519952.18713009</v>
      </c>
      <c r="O47"/>
    </row>
    <row r="48" spans="2:17" x14ac:dyDescent="0.2">
      <c r="B48"/>
      <c r="C48"/>
      <c r="H48" s="42"/>
      <c r="I48" s="14"/>
      <c r="J48" s="14"/>
      <c r="K48" s="14"/>
      <c r="L48" s="14"/>
      <c r="M48" s="4" t="s">
        <v>92</v>
      </c>
      <c r="N48" s="43">
        <f>M44</f>
        <v>706316749.13121819</v>
      </c>
      <c r="O48"/>
    </row>
    <row r="49" spans="2:16" x14ac:dyDescent="0.2">
      <c r="B49"/>
      <c r="C49"/>
      <c r="H49" s="42"/>
      <c r="I49"/>
      <c r="J49"/>
      <c r="K49"/>
      <c r="L49"/>
      <c r="M49" s="4" t="s">
        <v>69</v>
      </c>
      <c r="N49" s="43">
        <f>+IF(N48&lt;N47,N48,N47)</f>
        <v>706316749.13121819</v>
      </c>
      <c r="O49"/>
      <c r="P49" s="44"/>
    </row>
    <row r="50" spans="2:16" x14ac:dyDescent="0.2">
      <c r="M50" s="14"/>
      <c r="N50"/>
    </row>
    <row r="51" spans="2:16" x14ac:dyDescent="0.2">
      <c r="G51" s="44"/>
      <c r="H51" s="44"/>
    </row>
    <row r="52" spans="2:16" x14ac:dyDescent="0.2">
      <c r="H52" s="8"/>
    </row>
  </sheetData>
  <dataConsolidate/>
  <mergeCells count="15">
    <mergeCell ref="G6:G7"/>
    <mergeCell ref="B6:B8"/>
    <mergeCell ref="C6:C7"/>
    <mergeCell ref="D6:D7"/>
    <mergeCell ref="E6:E7"/>
    <mergeCell ref="F6:F7"/>
    <mergeCell ref="N6:N7"/>
    <mergeCell ref="O6:O7"/>
    <mergeCell ref="P6:P7"/>
    <mergeCell ref="H6:H7"/>
    <mergeCell ref="I6:I7"/>
    <mergeCell ref="J6:J7"/>
    <mergeCell ref="K6:K7"/>
    <mergeCell ref="L6:L7"/>
    <mergeCell ref="M6:M7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1E2A-89C9-4035-90D8-666F8C3B8540}">
  <sheetPr codeName="Hoja3">
    <tabColor theme="7" tint="0.79998168889431442"/>
  </sheetPr>
  <dimension ref="A2:N91"/>
  <sheetViews>
    <sheetView zoomScale="70" zoomScaleNormal="70" workbookViewId="0"/>
  </sheetViews>
  <sheetFormatPr baseColWidth="10" defaultColWidth="11.42578125" defaultRowHeight="12.75" x14ac:dyDescent="0.2"/>
  <cols>
    <col min="1" max="1" width="9.140625" style="69" customWidth="1"/>
    <col min="2" max="2" width="23.85546875" style="69" customWidth="1"/>
    <col min="3" max="3" width="17" style="69" customWidth="1"/>
    <col min="4" max="4" width="16.140625" style="69" customWidth="1"/>
    <col min="5" max="5" width="20.5703125" style="69" customWidth="1"/>
    <col min="6" max="6" width="15.7109375" style="69" customWidth="1"/>
    <col min="7" max="7" width="9.85546875" style="69" customWidth="1"/>
    <col min="8" max="8" width="13.5703125" style="69" customWidth="1"/>
    <col min="9" max="9" width="13.7109375" style="69" customWidth="1"/>
    <col min="10" max="10" width="14" style="69" bestFit="1" customWidth="1"/>
    <col min="11" max="15" width="10.85546875" style="69" customWidth="1"/>
    <col min="16" max="16" width="13.28515625" style="69" bestFit="1" customWidth="1"/>
    <col min="17" max="17" width="15.85546875" style="69" bestFit="1" customWidth="1"/>
    <col min="18" max="18" width="17" style="69" bestFit="1" customWidth="1"/>
    <col min="19" max="19" width="17.85546875" style="69" customWidth="1"/>
    <col min="20" max="16384" width="11.42578125" style="69"/>
  </cols>
  <sheetData>
    <row r="2" spans="1:9" x14ac:dyDescent="0.2">
      <c r="B2" s="70" t="s">
        <v>96</v>
      </c>
      <c r="C2" s="70"/>
      <c r="D2" s="70"/>
      <c r="E2" s="70"/>
      <c r="F2" s="70"/>
      <c r="G2" s="70"/>
      <c r="I2" s="40" t="s">
        <v>94</v>
      </c>
    </row>
    <row r="3" spans="1:9" x14ac:dyDescent="0.2">
      <c r="B3" s="71">
        <f>FechaFacturacion</f>
        <v>45566</v>
      </c>
      <c r="C3" s="72"/>
      <c r="D3" s="72"/>
      <c r="E3" s="72"/>
      <c r="F3" s="72"/>
      <c r="G3" s="72"/>
    </row>
    <row r="6" spans="1:9" ht="12.75" customHeight="1" x14ac:dyDescent="0.2">
      <c r="B6" s="121" t="s">
        <v>6</v>
      </c>
      <c r="C6" s="122" t="s">
        <v>78</v>
      </c>
      <c r="E6" s="121" t="s">
        <v>6</v>
      </c>
      <c r="F6" s="122" t="s">
        <v>80</v>
      </c>
      <c r="H6" s="121" t="s">
        <v>81</v>
      </c>
      <c r="I6" s="124" cm="1">
        <f t="array" ref="I6">SUMPRODUCT(($F$8:$F$32&gt;0)*($F$8:$F$32))</f>
        <v>655183489.68777919</v>
      </c>
    </row>
    <row r="7" spans="1:9" ht="27" customHeight="1" x14ac:dyDescent="0.2">
      <c r="B7" s="121"/>
      <c r="C7" s="123"/>
      <c r="E7" s="121"/>
      <c r="F7" s="123"/>
      <c r="H7" s="121"/>
      <c r="I7" s="124"/>
    </row>
    <row r="8" spans="1:9" x14ac:dyDescent="0.2">
      <c r="B8" s="73" t="s">
        <v>14</v>
      </c>
      <c r="C8" s="74">
        <f>'Reliquidación 7TRAN'!O9</f>
        <v>-2335479.0930184694</v>
      </c>
      <c r="D8" s="75"/>
      <c r="E8" s="73" t="s">
        <v>14</v>
      </c>
      <c r="F8" s="76">
        <f>VLOOKUP(E8,$B$8:$C$42,2,0)</f>
        <v>-2335479.0930184694</v>
      </c>
      <c r="G8" s="77"/>
      <c r="I8" s="40"/>
    </row>
    <row r="9" spans="1:9" x14ac:dyDescent="0.2">
      <c r="B9" s="78" t="s">
        <v>15</v>
      </c>
      <c r="C9" s="76">
        <f>'Reliquidación 7TRAN'!O10</f>
        <v>-1776673.8331140685</v>
      </c>
      <c r="D9" s="75"/>
      <c r="E9" s="78" t="s">
        <v>15</v>
      </c>
      <c r="F9" s="76">
        <f>VLOOKUP(E9,$B$8:$C$42,2,0)</f>
        <v>-1776673.8331140685</v>
      </c>
      <c r="G9" s="77"/>
      <c r="I9" s="40"/>
    </row>
    <row r="10" spans="1:9" x14ac:dyDescent="0.2">
      <c r="B10" s="78" t="s">
        <v>16</v>
      </c>
      <c r="C10" s="76">
        <f>'Reliquidación 7TRAN'!O11</f>
        <v>-5236140.079610263</v>
      </c>
      <c r="D10" s="75"/>
      <c r="E10" s="78" t="s">
        <v>16</v>
      </c>
      <c r="F10" s="76">
        <f>VLOOKUP(E10,$B$8:$C$42,2,0)</f>
        <v>-5236140.079610263</v>
      </c>
      <c r="G10" s="77"/>
      <c r="I10" s="40"/>
    </row>
    <row r="11" spans="1:9" x14ac:dyDescent="0.2">
      <c r="B11" s="78" t="s">
        <v>17</v>
      </c>
      <c r="C11" s="76">
        <f>'Reliquidación 7TRAN'!O12</f>
        <v>-1434268.4494413943</v>
      </c>
      <c r="D11" s="75"/>
      <c r="E11" s="78" t="s">
        <v>17</v>
      </c>
      <c r="F11" s="76">
        <f>VLOOKUP(E11,$B$8:$C$42,2,0)</f>
        <v>-1434268.4494413943</v>
      </c>
      <c r="G11" s="77"/>
      <c r="H11" s="40"/>
      <c r="I11" s="40"/>
    </row>
    <row r="12" spans="1:9" x14ac:dyDescent="0.2">
      <c r="B12" s="78" t="s">
        <v>18</v>
      </c>
      <c r="C12" s="76">
        <f>'Reliquidación 7TRAN'!O13</f>
        <v>376747519.02217221</v>
      </c>
      <c r="D12" s="75"/>
      <c r="E12" s="78" t="s">
        <v>82</v>
      </c>
      <c r="F12" s="76">
        <f>C12+C13+C14+C15+C16+C18+C19+C20+C37+C38+C39</f>
        <v>530128975.61010164</v>
      </c>
      <c r="G12" s="77"/>
      <c r="H12" s="40"/>
      <c r="I12" s="40"/>
    </row>
    <row r="13" spans="1:9" x14ac:dyDescent="0.2">
      <c r="B13" s="78" t="s">
        <v>20</v>
      </c>
      <c r="C13" s="76">
        <f>'Reliquidación 7TRAN'!O14</f>
        <v>-605584.84909105068</v>
      </c>
      <c r="D13" s="75"/>
      <c r="E13" s="78" t="s">
        <v>83</v>
      </c>
      <c r="F13" s="76">
        <f>C17</f>
        <v>-436604727.08616656</v>
      </c>
      <c r="G13" s="77"/>
      <c r="H13" s="40"/>
      <c r="I13" s="40"/>
    </row>
    <row r="14" spans="1:9" x14ac:dyDescent="0.2">
      <c r="B14" s="78" t="s">
        <v>21</v>
      </c>
      <c r="C14" s="76">
        <f>'Reliquidación 7TRAN'!O15</f>
        <v>20768333.195336811</v>
      </c>
      <c r="D14" s="75"/>
      <c r="E14" s="78" t="s">
        <v>29</v>
      </c>
      <c r="F14" s="76">
        <f t="shared" ref="F14:F32" si="0">VLOOKUP(E14,$B$8:$C$42,2,0)</f>
        <v>-6477097.5692599025</v>
      </c>
      <c r="G14" s="77"/>
      <c r="H14" s="40"/>
      <c r="I14" s="40"/>
    </row>
    <row r="15" spans="1:9" x14ac:dyDescent="0.2">
      <c r="B15" s="78" t="s">
        <v>22</v>
      </c>
      <c r="C15" s="76">
        <f>'Reliquidación 7TRAN'!O16</f>
        <v>0</v>
      </c>
      <c r="D15" s="75"/>
      <c r="E15" s="78" t="s">
        <v>30</v>
      </c>
      <c r="F15" s="76">
        <f t="shared" si="0"/>
        <v>-11252253.908090238</v>
      </c>
      <c r="G15" s="77"/>
      <c r="H15" s="40"/>
      <c r="I15" s="40"/>
    </row>
    <row r="16" spans="1:9" x14ac:dyDescent="0.2">
      <c r="A16" s="40"/>
      <c r="B16" s="78" t="s">
        <v>23</v>
      </c>
      <c r="C16" s="76">
        <f>'Reliquidación 7TRAN'!O17</f>
        <v>0</v>
      </c>
      <c r="D16" s="75"/>
      <c r="E16" s="78" t="s">
        <v>31</v>
      </c>
      <c r="F16" s="76">
        <f t="shared" si="0"/>
        <v>-9368885.4380078614</v>
      </c>
      <c r="G16" s="77"/>
      <c r="H16" s="40"/>
      <c r="I16" s="40"/>
    </row>
    <row r="17" spans="1:9" x14ac:dyDescent="0.2">
      <c r="B17" s="78" t="s">
        <v>24</v>
      </c>
      <c r="C17" s="76">
        <f>'Reliquidación 7TRAN'!O18</f>
        <v>-436604727.08616656</v>
      </c>
      <c r="D17" s="75"/>
      <c r="E17" s="78" t="s">
        <v>32</v>
      </c>
      <c r="F17" s="76">
        <f t="shared" si="0"/>
        <v>-2173159.3322734348</v>
      </c>
      <c r="G17" s="77"/>
      <c r="H17" s="40"/>
      <c r="I17" s="40"/>
    </row>
    <row r="18" spans="1:9" x14ac:dyDescent="0.2">
      <c r="B18" s="78" t="s">
        <v>26</v>
      </c>
      <c r="C18" s="76">
        <f>'Reliquidación 7TRAN'!O19</f>
        <v>77482138.517105848</v>
      </c>
      <c r="D18" s="75"/>
      <c r="E18" s="78" t="s">
        <v>33</v>
      </c>
      <c r="F18" s="76">
        <f t="shared" si="0"/>
        <v>-2084072.3628882626</v>
      </c>
      <c r="G18" s="77"/>
      <c r="H18" s="40"/>
      <c r="I18" s="40"/>
    </row>
    <row r="19" spans="1:9" x14ac:dyDescent="0.2">
      <c r="B19" s="78" t="s">
        <v>27</v>
      </c>
      <c r="C19" s="76">
        <f>'Reliquidación 7TRAN'!O20</f>
        <v>-16612836.680902509</v>
      </c>
      <c r="D19" s="75"/>
      <c r="E19" s="78" t="s">
        <v>34</v>
      </c>
      <c r="F19" s="76">
        <f t="shared" si="0"/>
        <v>-4561134.7168103736</v>
      </c>
      <c r="G19" s="77"/>
      <c r="H19" s="40"/>
      <c r="I19" s="40"/>
    </row>
    <row r="20" spans="1:9" x14ac:dyDescent="0.2">
      <c r="B20" s="78" t="s">
        <v>28</v>
      </c>
      <c r="C20" s="76">
        <f>'Reliquidación 7TRAN'!O21</f>
        <v>0</v>
      </c>
      <c r="D20" s="75"/>
      <c r="E20" s="78" t="s">
        <v>35</v>
      </c>
      <c r="F20" s="76">
        <f t="shared" si="0"/>
        <v>-43198842.708520532</v>
      </c>
      <c r="G20" s="77"/>
      <c r="H20" s="40"/>
      <c r="I20" s="40"/>
    </row>
    <row r="21" spans="1:9" x14ac:dyDescent="0.2">
      <c r="B21" s="78" t="s">
        <v>29</v>
      </c>
      <c r="C21" s="76">
        <f>'Reliquidación 7TRAN'!O22</f>
        <v>-6477097.5692599025</v>
      </c>
      <c r="D21" s="75"/>
      <c r="E21" s="78" t="s">
        <v>36</v>
      </c>
      <c r="F21" s="76">
        <f t="shared" si="0"/>
        <v>-9495732.4946248345</v>
      </c>
      <c r="G21" s="77"/>
      <c r="H21" s="40"/>
      <c r="I21" s="40"/>
    </row>
    <row r="22" spans="1:9" x14ac:dyDescent="0.2">
      <c r="B22" s="78" t="s">
        <v>30</v>
      </c>
      <c r="C22" s="76">
        <f>'Reliquidación 7TRAN'!O23</f>
        <v>-11252253.908090238</v>
      </c>
      <c r="D22" s="75"/>
      <c r="E22" s="78" t="s">
        <v>37</v>
      </c>
      <c r="F22" s="76">
        <f t="shared" si="0"/>
        <v>-99385229.216830939</v>
      </c>
      <c r="G22" s="77"/>
      <c r="H22" s="40"/>
      <c r="I22" s="40"/>
    </row>
    <row r="23" spans="1:9" x14ac:dyDescent="0.2">
      <c r="B23" s="78" t="s">
        <v>31</v>
      </c>
      <c r="C23" s="76">
        <f>'Reliquidación 7TRAN'!O24</f>
        <v>-9368885.4380078614</v>
      </c>
      <c r="D23" s="75"/>
      <c r="E23" s="78" t="s">
        <v>38</v>
      </c>
      <c r="F23" s="76">
        <f t="shared" si="0"/>
        <v>-2518436.1951003424</v>
      </c>
      <c r="G23" s="77"/>
      <c r="H23" s="40"/>
      <c r="I23" s="40"/>
    </row>
    <row r="24" spans="1:9" x14ac:dyDescent="0.2">
      <c r="B24" s="78" t="s">
        <v>32</v>
      </c>
      <c r="C24" s="76">
        <f>'Reliquidación 7TRAN'!O25</f>
        <v>-2173159.3322734348</v>
      </c>
      <c r="D24" s="75"/>
      <c r="E24" s="78" t="s">
        <v>39</v>
      </c>
      <c r="F24" s="76">
        <f t="shared" si="0"/>
        <v>122976789.99862771</v>
      </c>
      <c r="G24" s="77"/>
      <c r="H24" s="40"/>
      <c r="I24" s="40"/>
    </row>
    <row r="25" spans="1:9" x14ac:dyDescent="0.2">
      <c r="B25" s="78" t="s">
        <v>33</v>
      </c>
      <c r="C25" s="76">
        <f>'Reliquidación 7TRAN'!O26</f>
        <v>-2084072.3628882626</v>
      </c>
      <c r="D25" s="75"/>
      <c r="E25" s="78" t="s">
        <v>40</v>
      </c>
      <c r="F25" s="76">
        <f t="shared" si="0"/>
        <v>-2066280.1625483087</v>
      </c>
      <c r="G25" s="77"/>
      <c r="H25" s="40"/>
      <c r="I25" s="40"/>
    </row>
    <row r="26" spans="1:9" x14ac:dyDescent="0.2">
      <c r="B26" s="78" t="s">
        <v>34</v>
      </c>
      <c r="C26" s="76">
        <f>'Reliquidación 7TRAN'!O27</f>
        <v>-4561134.7168103736</v>
      </c>
      <c r="D26" s="75"/>
      <c r="E26" s="78" t="s">
        <v>41</v>
      </c>
      <c r="F26" s="76">
        <f t="shared" si="0"/>
        <v>-6829128.41177388</v>
      </c>
      <c r="G26" s="77"/>
      <c r="H26" s="40"/>
      <c r="I26" s="40"/>
    </row>
    <row r="27" spans="1:9" x14ac:dyDescent="0.2">
      <c r="B27" s="78" t="s">
        <v>35</v>
      </c>
      <c r="C27" s="76">
        <f>'Reliquidación 7TRAN'!O28</f>
        <v>-43198842.708520532</v>
      </c>
      <c r="D27" s="75"/>
      <c r="E27" s="78" t="s">
        <v>42</v>
      </c>
      <c r="F27" s="76">
        <f t="shared" si="0"/>
        <v>-4417339.0588733265</v>
      </c>
      <c r="G27" s="77"/>
      <c r="H27" s="40"/>
      <c r="I27" s="40"/>
    </row>
    <row r="28" spans="1:9" x14ac:dyDescent="0.2">
      <c r="B28" s="78" t="s">
        <v>36</v>
      </c>
      <c r="C28" s="76">
        <f>'Reliquidación 7TRAN'!O29</f>
        <v>-9495732.4946248345</v>
      </c>
      <c r="D28" s="75"/>
      <c r="E28" s="78" t="s">
        <v>43</v>
      </c>
      <c r="F28" s="76">
        <f t="shared" si="0"/>
        <v>-3213441.0066218586</v>
      </c>
      <c r="G28" s="77"/>
      <c r="H28" s="40"/>
      <c r="I28" s="40"/>
    </row>
    <row r="29" spans="1:9" x14ac:dyDescent="0.2">
      <c r="A29" s="40"/>
      <c r="B29" s="78" t="s">
        <v>37</v>
      </c>
      <c r="C29" s="76">
        <f>'Reliquidación 7TRAN'!O30</f>
        <v>-99385229.216830939</v>
      </c>
      <c r="D29" s="75"/>
      <c r="E29" s="78" t="s">
        <v>45</v>
      </c>
      <c r="F29" s="76">
        <f t="shared" si="0"/>
        <v>-748802.88614502188</v>
      </c>
      <c r="G29" s="77"/>
      <c r="H29" s="40"/>
      <c r="I29" s="40"/>
    </row>
    <row r="30" spans="1:9" x14ac:dyDescent="0.2">
      <c r="B30" s="78" t="s">
        <v>38</v>
      </c>
      <c r="C30" s="76">
        <f>'Reliquidación 7TRAN'!O31</f>
        <v>-2518436.1951003424</v>
      </c>
      <c r="D30" s="75"/>
      <c r="E30" s="78" t="s">
        <v>49</v>
      </c>
      <c r="F30" s="76">
        <f t="shared" si="0"/>
        <v>0</v>
      </c>
      <c r="G30" s="77"/>
      <c r="H30" s="40"/>
      <c r="I30" s="40"/>
    </row>
    <row r="31" spans="1:9" x14ac:dyDescent="0.2">
      <c r="A31" s="40"/>
      <c r="B31" s="78" t="s">
        <v>39</v>
      </c>
      <c r="C31" s="76">
        <f>'Reliquidación 7TRAN'!O32</f>
        <v>122976789.99862771</v>
      </c>
      <c r="D31" s="75"/>
      <c r="E31" s="32" t="s">
        <v>50</v>
      </c>
      <c r="F31" s="76">
        <f t="shared" si="0"/>
        <v>-6365.6780595278296</v>
      </c>
      <c r="G31" s="77"/>
      <c r="H31" s="40"/>
      <c r="I31" s="40"/>
    </row>
    <row r="32" spans="1:9" x14ac:dyDescent="0.2">
      <c r="A32" s="40"/>
      <c r="B32" s="78" t="s">
        <v>40</v>
      </c>
      <c r="C32" s="76">
        <f>'Reliquidación 7TRAN'!O33</f>
        <v>-2066280.1625483087</v>
      </c>
      <c r="D32" s="75"/>
      <c r="E32" s="79" t="s">
        <v>51</v>
      </c>
      <c r="F32" s="76">
        <f t="shared" si="0"/>
        <v>2077724.0790498359</v>
      </c>
      <c r="G32" s="75"/>
      <c r="H32" s="40"/>
      <c r="I32" s="40"/>
    </row>
    <row r="33" spans="1:14" x14ac:dyDescent="0.2">
      <c r="A33" s="40"/>
      <c r="B33" s="78" t="s">
        <v>41</v>
      </c>
      <c r="C33" s="76">
        <f>'Reliquidación 7TRAN'!O34</f>
        <v>-6829128.41177388</v>
      </c>
      <c r="D33" s="75"/>
      <c r="E33" s="80" t="s">
        <v>66</v>
      </c>
      <c r="F33" s="81">
        <f>SUM(F8:F32)</f>
        <v>-2.3632310330867767E-7</v>
      </c>
      <c r="G33" s="82"/>
      <c r="H33" s="40"/>
      <c r="I33" s="40"/>
    </row>
    <row r="34" spans="1:14" x14ac:dyDescent="0.2">
      <c r="B34" s="78" t="s">
        <v>42</v>
      </c>
      <c r="C34" s="76">
        <f>'Reliquidación 7TRAN'!O35</f>
        <v>-4417339.0588733265</v>
      </c>
      <c r="D34" s="75"/>
      <c r="E34" s="83"/>
      <c r="F34" s="84"/>
      <c r="G34" s="82"/>
      <c r="H34" s="40"/>
      <c r="I34" s="40"/>
    </row>
    <row r="35" spans="1:14" x14ac:dyDescent="0.2">
      <c r="A35" s="40"/>
      <c r="B35" s="78" t="s">
        <v>43</v>
      </c>
      <c r="C35" s="76">
        <f>'Reliquidación 7TRAN'!O36</f>
        <v>-3213441.0066218586</v>
      </c>
      <c r="D35" s="75"/>
      <c r="E35" s="83"/>
      <c r="F35" s="84"/>
      <c r="G35" s="82"/>
      <c r="H35" s="40"/>
      <c r="I35" s="40"/>
    </row>
    <row r="36" spans="1:14" x14ac:dyDescent="0.2">
      <c r="A36" s="40"/>
      <c r="B36" s="78" t="s">
        <v>45</v>
      </c>
      <c r="C36" s="76">
        <f>'Reliquidación 7TRAN'!O37</f>
        <v>-748802.88614502188</v>
      </c>
      <c r="D36" s="75"/>
      <c r="E36" s="83"/>
      <c r="F36" s="84"/>
      <c r="G36" s="82"/>
      <c r="H36" s="40"/>
      <c r="I36" s="40"/>
    </row>
    <row r="37" spans="1:14" x14ac:dyDescent="0.2">
      <c r="B37" s="78" t="s">
        <v>46</v>
      </c>
      <c r="C37" s="76">
        <f>'Reliquidación 7TRAN'!O38</f>
        <v>-13747939.059904831</v>
      </c>
      <c r="D37" s="75"/>
      <c r="E37" s="83"/>
      <c r="F37" s="84"/>
      <c r="G37" s="82"/>
      <c r="H37" s="40"/>
      <c r="I37" s="40"/>
    </row>
    <row r="38" spans="1:14" x14ac:dyDescent="0.2">
      <c r="B38" s="78" t="s">
        <v>47</v>
      </c>
      <c r="C38" s="76">
        <f>'Reliquidación 7TRAN'!O39</f>
        <v>-20166898.853540629</v>
      </c>
      <c r="D38" s="75"/>
      <c r="E38" s="83"/>
      <c r="F38" s="84"/>
      <c r="G38" s="82"/>
      <c r="H38" s="40"/>
      <c r="I38" s="40"/>
    </row>
    <row r="39" spans="1:14" x14ac:dyDescent="0.2">
      <c r="B39" s="78" t="s">
        <v>48</v>
      </c>
      <c r="C39" s="76">
        <f>'Reliquidación 7TRAN'!O40</f>
        <v>106264244.3189258</v>
      </c>
      <c r="D39" s="75"/>
      <c r="E39" s="83"/>
      <c r="F39" s="84"/>
      <c r="G39" s="82"/>
      <c r="H39" s="40"/>
      <c r="I39" s="40"/>
    </row>
    <row r="40" spans="1:14" x14ac:dyDescent="0.2">
      <c r="B40" s="78" t="s">
        <v>49</v>
      </c>
      <c r="C40" s="76">
        <f>'Reliquidación 7TRAN'!O41</f>
        <v>0</v>
      </c>
      <c r="D40" s="75"/>
      <c r="E40" s="83"/>
      <c r="F40" s="84"/>
      <c r="G40" s="82"/>
      <c r="H40" s="40"/>
      <c r="I40" s="40"/>
    </row>
    <row r="41" spans="1:14" x14ac:dyDescent="0.2">
      <c r="B41" s="32" t="s">
        <v>50</v>
      </c>
      <c r="C41" s="76">
        <f>'Reliquidación 7TRAN'!O42</f>
        <v>-6365.6780595278296</v>
      </c>
      <c r="D41" s="75"/>
      <c r="E41" s="83"/>
      <c r="F41" s="84"/>
      <c r="G41" s="82"/>
      <c r="H41" s="40"/>
      <c r="I41" s="40"/>
    </row>
    <row r="42" spans="1:14" x14ac:dyDescent="0.2">
      <c r="B42" s="79" t="s">
        <v>51</v>
      </c>
      <c r="C42" s="85">
        <f>'Reliquidación 7TRAN'!O43</f>
        <v>2077724.0790498359</v>
      </c>
      <c r="D42" s="75"/>
      <c r="E42" s="83"/>
      <c r="F42" s="84"/>
      <c r="G42" s="82"/>
      <c r="H42" s="40"/>
      <c r="I42" s="40"/>
    </row>
    <row r="43" spans="1:14" x14ac:dyDescent="0.2">
      <c r="B43" s="80" t="s">
        <v>66</v>
      </c>
      <c r="C43" s="81">
        <f>SUM(C8:C42)</f>
        <v>-2.2281892597675323E-7</v>
      </c>
      <c r="D43" s="86"/>
      <c r="E43" s="40"/>
      <c r="G43" s="82"/>
      <c r="H43" s="40"/>
      <c r="I43" s="40"/>
    </row>
    <row r="44" spans="1:14" x14ac:dyDescent="0.2">
      <c r="B44" s="83"/>
      <c r="C44" s="87"/>
      <c r="E44" s="40"/>
      <c r="G44" s="40"/>
      <c r="H44" s="40"/>
    </row>
    <row r="45" spans="1:14" x14ac:dyDescent="0.2">
      <c r="B45" s="83"/>
      <c r="C45" s="87"/>
      <c r="D45" s="87"/>
      <c r="G45" s="40"/>
    </row>
    <row r="46" spans="1:14" x14ac:dyDescent="0.2">
      <c r="B46" s="40"/>
      <c r="C46" s="40"/>
      <c r="D46" s="40"/>
      <c r="E46" s="84"/>
      <c r="F46" s="40"/>
      <c r="G46" s="40"/>
      <c r="H46" s="40"/>
      <c r="I46" s="40"/>
    </row>
    <row r="47" spans="1:14" x14ac:dyDescent="0.2">
      <c r="B47" s="88" t="s">
        <v>84</v>
      </c>
      <c r="C47" s="40"/>
      <c r="D47" s="40"/>
      <c r="E47" s="40"/>
      <c r="F47" s="40"/>
      <c r="G47" s="40"/>
      <c r="H47" s="40"/>
      <c r="I47" s="40"/>
      <c r="K47" s="40"/>
      <c r="L47" s="40"/>
      <c r="M47" s="40"/>
      <c r="N47" s="40"/>
    </row>
    <row r="48" spans="1:14" x14ac:dyDescent="0.2">
      <c r="B48" s="40"/>
      <c r="C48" s="40"/>
      <c r="D48" s="40"/>
      <c r="E48" s="84"/>
      <c r="F48" s="40"/>
      <c r="G48" s="40"/>
      <c r="H48" s="40"/>
      <c r="I48" s="40"/>
      <c r="J48" s="40"/>
    </row>
    <row r="49" spans="2:6" x14ac:dyDescent="0.2">
      <c r="B49" s="114" t="s">
        <v>85</v>
      </c>
      <c r="C49" s="116" t="s">
        <v>86</v>
      </c>
      <c r="D49" s="117"/>
      <c r="E49" s="118"/>
      <c r="F49" s="94" t="s">
        <v>52</v>
      </c>
    </row>
    <row r="50" spans="2:6" x14ac:dyDescent="0.2">
      <c r="B50" s="115"/>
      <c r="C50" s="38" t="s">
        <v>82</v>
      </c>
      <c r="D50" s="39" t="s">
        <v>39</v>
      </c>
      <c r="E50" s="95" t="s">
        <v>51</v>
      </c>
      <c r="F50" s="96"/>
    </row>
    <row r="51" spans="2:6" ht="12" customHeight="1" x14ac:dyDescent="0.2">
      <c r="B51" s="61" t="s">
        <v>14</v>
      </c>
      <c r="C51" s="89">
        <f t="shared" ref="C51:E72" si="1">(VLOOKUP($B51,$E$8:$F$32,2,0)*(-(VLOOKUP(C$50,$E$8:$F$32,2,0))))/SUMPRODUCT(($F$8:$F$32&gt;0)*($F$8:$F$32))</f>
        <v>1889707.4768027144</v>
      </c>
      <c r="D51" s="89">
        <f t="shared" si="1"/>
        <v>438365.32282763196</v>
      </c>
      <c r="E51" s="89">
        <f t="shared" si="1"/>
        <v>7406.2933881229883</v>
      </c>
      <c r="F51" s="90">
        <f t="shared" ref="F51:F72" si="2">SUM(C51:E51)</f>
        <v>2335479.0930184694</v>
      </c>
    </row>
    <row r="52" spans="2:6" x14ac:dyDescent="0.2">
      <c r="B52" s="60" t="s">
        <v>15</v>
      </c>
      <c r="C52" s="89">
        <f t="shared" si="1"/>
        <v>1437561.0710075588</v>
      </c>
      <c r="D52" s="89">
        <f t="shared" si="1"/>
        <v>333478.55724362755</v>
      </c>
      <c r="E52" s="89">
        <f t="shared" si="1"/>
        <v>5634.2048628819775</v>
      </c>
      <c r="F52" s="90">
        <f t="shared" si="2"/>
        <v>1776673.8331140683</v>
      </c>
    </row>
    <row r="53" spans="2:6" x14ac:dyDescent="0.2">
      <c r="B53" s="61" t="s">
        <v>16</v>
      </c>
      <c r="C53" s="89">
        <f t="shared" si="1"/>
        <v>4236720.8884912189</v>
      </c>
      <c r="D53" s="89">
        <f t="shared" si="1"/>
        <v>982814.29417655838</v>
      </c>
      <c r="E53" s="89">
        <f t="shared" si="1"/>
        <v>16604.89694248639</v>
      </c>
      <c r="F53" s="90">
        <f t="shared" si="2"/>
        <v>5236140.079610263</v>
      </c>
    </row>
    <row r="54" spans="2:6" x14ac:dyDescent="0.2">
      <c r="B54" s="61" t="s">
        <v>17</v>
      </c>
      <c r="C54" s="89">
        <f t="shared" si="1"/>
        <v>1160510.4155090824</v>
      </c>
      <c r="D54" s="89">
        <f t="shared" si="1"/>
        <v>269209.66826051218</v>
      </c>
      <c r="E54" s="89">
        <f t="shared" si="1"/>
        <v>4548.3656717997446</v>
      </c>
      <c r="F54" s="90">
        <f t="shared" si="2"/>
        <v>1434268.4494413943</v>
      </c>
    </row>
    <row r="55" spans="2:6" x14ac:dyDescent="0.2">
      <c r="B55" s="61" t="s">
        <v>83</v>
      </c>
      <c r="C55" s="89">
        <f t="shared" si="1"/>
        <v>353270221.79239559</v>
      </c>
      <c r="D55" s="89">
        <f t="shared" si="1"/>
        <v>81949940.253943428</v>
      </c>
      <c r="E55" s="89">
        <f t="shared" si="1"/>
        <v>1384565.0398275456</v>
      </c>
      <c r="F55" s="90">
        <f t="shared" si="2"/>
        <v>436604727.08616656</v>
      </c>
    </row>
    <row r="56" spans="2:6" x14ac:dyDescent="0.2">
      <c r="B56" s="61" t="s">
        <v>29</v>
      </c>
      <c r="C56" s="89">
        <f t="shared" si="1"/>
        <v>5240817.5012998627</v>
      </c>
      <c r="D56" s="89">
        <f t="shared" si="1"/>
        <v>1215739.8348897288</v>
      </c>
      <c r="E56" s="89">
        <f t="shared" si="1"/>
        <v>20540.233070310653</v>
      </c>
      <c r="F56" s="90">
        <f t="shared" si="2"/>
        <v>6477097.5692599015</v>
      </c>
    </row>
    <row r="57" spans="2:6" x14ac:dyDescent="0.2">
      <c r="B57" s="61" t="s">
        <v>30</v>
      </c>
      <c r="C57" s="89">
        <f t="shared" si="1"/>
        <v>9104542.3633053806</v>
      </c>
      <c r="D57" s="89">
        <f t="shared" si="1"/>
        <v>2112028.290770682</v>
      </c>
      <c r="E57" s="89">
        <f t="shared" si="1"/>
        <v>35683.254014173588</v>
      </c>
      <c r="F57" s="90">
        <f t="shared" si="2"/>
        <v>11252253.908090236</v>
      </c>
    </row>
    <row r="58" spans="2:6" x14ac:dyDescent="0.2">
      <c r="B58" s="61" t="s">
        <v>31</v>
      </c>
      <c r="C58" s="89">
        <f t="shared" si="1"/>
        <v>7580651.4022908956</v>
      </c>
      <c r="D58" s="89">
        <f t="shared" si="1"/>
        <v>1758523.3376075176</v>
      </c>
      <c r="E58" s="89">
        <f t="shared" si="1"/>
        <v>29710.698109448087</v>
      </c>
      <c r="F58" s="90">
        <f t="shared" si="2"/>
        <v>9368885.4380078614</v>
      </c>
    </row>
    <row r="59" spans="2:6" x14ac:dyDescent="0.2">
      <c r="B59" s="61" t="s">
        <v>32</v>
      </c>
      <c r="C59" s="89">
        <f t="shared" si="1"/>
        <v>1758369.5999492418</v>
      </c>
      <c r="D59" s="89">
        <f t="shared" si="1"/>
        <v>407898.18889652198</v>
      </c>
      <c r="E59" s="89">
        <f t="shared" si="1"/>
        <v>6891.5434276710212</v>
      </c>
      <c r="F59" s="90">
        <f t="shared" si="2"/>
        <v>2173159.3322734348</v>
      </c>
    </row>
    <row r="60" spans="2:6" x14ac:dyDescent="0.2">
      <c r="B60" s="61" t="s">
        <v>33</v>
      </c>
      <c r="C60" s="89">
        <f t="shared" si="1"/>
        <v>1686286.6116509931</v>
      </c>
      <c r="D60" s="89">
        <f t="shared" si="1"/>
        <v>391176.72124947351</v>
      </c>
      <c r="E60" s="89">
        <f t="shared" si="1"/>
        <v>6609.0299877957968</v>
      </c>
      <c r="F60" s="90">
        <f t="shared" si="2"/>
        <v>2084072.3628882624</v>
      </c>
    </row>
    <row r="61" spans="2:6" x14ac:dyDescent="0.2">
      <c r="B61" s="61" t="s">
        <v>34</v>
      </c>
      <c r="C61" s="89">
        <f t="shared" si="1"/>
        <v>3690553.4298408865</v>
      </c>
      <c r="D61" s="89">
        <f t="shared" si="1"/>
        <v>856116.97341753391</v>
      </c>
      <c r="E61" s="89">
        <f t="shared" si="1"/>
        <v>14464.313551953404</v>
      </c>
      <c r="F61" s="90">
        <f t="shared" si="2"/>
        <v>4561134.7168103736</v>
      </c>
    </row>
    <row r="62" spans="2:6" x14ac:dyDescent="0.2">
      <c r="B62" s="61" t="s">
        <v>35</v>
      </c>
      <c r="C62" s="89">
        <f t="shared" si="1"/>
        <v>34953503.244599633</v>
      </c>
      <c r="D62" s="89">
        <f t="shared" si="1"/>
        <v>8108346.8853604253</v>
      </c>
      <c r="E62" s="89">
        <f t="shared" si="1"/>
        <v>136992.57856047546</v>
      </c>
      <c r="F62" s="90">
        <f t="shared" si="2"/>
        <v>43198842.708520539</v>
      </c>
    </row>
    <row r="63" spans="2:6" x14ac:dyDescent="0.2">
      <c r="B63" s="61" t="s">
        <v>36</v>
      </c>
      <c r="C63" s="89">
        <f t="shared" si="1"/>
        <v>7683287.2306380924</v>
      </c>
      <c r="D63" s="89">
        <f t="shared" si="1"/>
        <v>1782332.3072916637</v>
      </c>
      <c r="E63" s="89">
        <f t="shared" si="1"/>
        <v>30112.956695077704</v>
      </c>
      <c r="F63" s="90">
        <f t="shared" si="2"/>
        <v>9495732.4946248345</v>
      </c>
    </row>
    <row r="64" spans="2:6" x14ac:dyDescent="0.2">
      <c r="B64" s="61" t="s">
        <v>37</v>
      </c>
      <c r="C64" s="89">
        <f t="shared" si="1"/>
        <v>80415624.912345022</v>
      </c>
      <c r="D64" s="89">
        <f t="shared" si="1"/>
        <v>18654432.925634313</v>
      </c>
      <c r="E64" s="89">
        <f t="shared" si="1"/>
        <v>315171.37885159464</v>
      </c>
      <c r="F64" s="90">
        <f t="shared" si="2"/>
        <v>99385229.216830924</v>
      </c>
    </row>
    <row r="65" spans="2:10" x14ac:dyDescent="0.2">
      <c r="B65" s="61" t="s">
        <v>38</v>
      </c>
      <c r="C65" s="89">
        <f t="shared" si="1"/>
        <v>2037743.6569474186</v>
      </c>
      <c r="D65" s="89">
        <f t="shared" si="1"/>
        <v>472706.04947231879</v>
      </c>
      <c r="E65" s="89">
        <f t="shared" si="1"/>
        <v>7986.488680604848</v>
      </c>
      <c r="F65" s="90">
        <f t="shared" si="2"/>
        <v>2518436.1951003424</v>
      </c>
    </row>
    <row r="66" spans="2:10" x14ac:dyDescent="0.2">
      <c r="B66" s="61" t="s">
        <v>40</v>
      </c>
      <c r="C66" s="89">
        <f t="shared" si="1"/>
        <v>1671890.3988517907</v>
      </c>
      <c r="D66" s="89">
        <f t="shared" si="1"/>
        <v>387837.15650271426</v>
      </c>
      <c r="E66" s="89">
        <f t="shared" si="1"/>
        <v>6552.6071938038158</v>
      </c>
      <c r="F66" s="90">
        <f t="shared" si="2"/>
        <v>2066280.1625483087</v>
      </c>
    </row>
    <row r="67" spans="2:10" x14ac:dyDescent="0.2">
      <c r="B67" s="61" t="s">
        <v>41</v>
      </c>
      <c r="C67" s="89">
        <f t="shared" si="1"/>
        <v>5525656.4095788682</v>
      </c>
      <c r="D67" s="89">
        <f t="shared" si="1"/>
        <v>1281815.4055875062</v>
      </c>
      <c r="E67" s="89">
        <f t="shared" si="1"/>
        <v>21656.596607505468</v>
      </c>
      <c r="F67" s="90">
        <f t="shared" si="2"/>
        <v>6829128.41177388</v>
      </c>
    </row>
    <row r="68" spans="2:10" x14ac:dyDescent="0.2">
      <c r="B68" s="61" t="s">
        <v>42</v>
      </c>
      <c r="C68" s="89">
        <f t="shared" si="1"/>
        <v>3574203.9704311658</v>
      </c>
      <c r="D68" s="89">
        <f t="shared" si="1"/>
        <v>829126.78104063869</v>
      </c>
      <c r="E68" s="89">
        <f t="shared" si="1"/>
        <v>14008.307401522185</v>
      </c>
      <c r="F68" s="90">
        <f t="shared" si="2"/>
        <v>4417339.0588733265</v>
      </c>
    </row>
    <row r="69" spans="2:10" x14ac:dyDescent="0.2">
      <c r="B69" s="61" t="s">
        <v>43</v>
      </c>
      <c r="C69" s="89">
        <f t="shared" si="1"/>
        <v>2600093.2804881013</v>
      </c>
      <c r="D69" s="89">
        <f t="shared" si="1"/>
        <v>603157.23162168416</v>
      </c>
      <c r="E69" s="89">
        <f t="shared" si="1"/>
        <v>10190.494512073348</v>
      </c>
      <c r="F69" s="90">
        <f t="shared" si="2"/>
        <v>3213441.0066218586</v>
      </c>
    </row>
    <row r="70" spans="2:10" x14ac:dyDescent="0.2">
      <c r="B70" s="61" t="s">
        <v>45</v>
      </c>
      <c r="C70" s="89">
        <f t="shared" si="1"/>
        <v>605879.2891058902</v>
      </c>
      <c r="D70" s="89">
        <f t="shared" si="1"/>
        <v>140548.98624460914</v>
      </c>
      <c r="E70" s="89">
        <f t="shared" si="1"/>
        <v>2374.6107945225049</v>
      </c>
      <c r="F70" s="90">
        <f t="shared" si="2"/>
        <v>748802.88614502177</v>
      </c>
    </row>
    <row r="71" spans="2:10" x14ac:dyDescent="0.2">
      <c r="B71" s="61" t="s">
        <v>50</v>
      </c>
      <c r="C71" s="89">
        <f t="shared" si="1"/>
        <v>5150.6645724075443</v>
      </c>
      <c r="D71" s="89">
        <f t="shared" si="1"/>
        <v>1194.826588653013</v>
      </c>
      <c r="E71" s="89">
        <f t="shared" si="1"/>
        <v>20.186898467272087</v>
      </c>
      <c r="F71" s="90">
        <f t="shared" si="2"/>
        <v>6365.6780595278296</v>
      </c>
    </row>
    <row r="72" spans="2:10" x14ac:dyDescent="0.2">
      <c r="B72" s="61" t="s">
        <v>49</v>
      </c>
      <c r="C72" s="89">
        <f t="shared" si="1"/>
        <v>0</v>
      </c>
      <c r="D72" s="89">
        <f t="shared" si="1"/>
        <v>0</v>
      </c>
      <c r="E72" s="89">
        <f t="shared" si="1"/>
        <v>0</v>
      </c>
      <c r="F72" s="90">
        <f t="shared" si="2"/>
        <v>0</v>
      </c>
    </row>
    <row r="73" spans="2:10" x14ac:dyDescent="0.2">
      <c r="B73" s="91" t="s">
        <v>52</v>
      </c>
      <c r="C73" s="92">
        <f>SUM(C51:C72)</f>
        <v>530128975.61010182</v>
      </c>
      <c r="D73" s="92">
        <f>SUM(D51:D72)</f>
        <v>122976789.99862771</v>
      </c>
      <c r="E73" s="92">
        <f>SUM(E51:E72)</f>
        <v>2077724.0790498371</v>
      </c>
      <c r="F73" s="64">
        <f>SUM(F51:F72)</f>
        <v>655183489.68777943</v>
      </c>
    </row>
    <row r="74" spans="2:10" x14ac:dyDescent="0.2">
      <c r="B74" s="40"/>
      <c r="C74" s="84"/>
      <c r="D74" s="84"/>
      <c r="E74" s="84"/>
      <c r="F74" s="84"/>
      <c r="G74" s="84"/>
      <c r="H74" s="84"/>
      <c r="I74" s="84"/>
      <c r="J74" s="14"/>
    </row>
    <row r="75" spans="2:10" x14ac:dyDescent="0.2">
      <c r="B75" s="88"/>
      <c r="C75" s="93"/>
      <c r="D75" s="93"/>
      <c r="E75" s="93"/>
      <c r="F75" s="66">
        <f>-SUMPRODUCT(($F$8:$F$32&lt;0)*($F$8:$F$32))</f>
        <v>655183489.68777943</v>
      </c>
      <c r="G75" s="40"/>
      <c r="H75" s="40"/>
      <c r="I75" s="40"/>
    </row>
    <row r="76" spans="2:10" x14ac:dyDescent="0.2">
      <c r="B76" s="40"/>
      <c r="C76" s="40"/>
      <c r="D76" s="40"/>
      <c r="E76" s="40"/>
      <c r="F76" s="67">
        <f>F73-F75</f>
        <v>0</v>
      </c>
      <c r="G76" s="40"/>
      <c r="H76" s="40"/>
      <c r="I76" s="40"/>
    </row>
    <row r="77" spans="2:10" x14ac:dyDescent="0.2">
      <c r="B77" s="40"/>
      <c r="C77" s="40"/>
      <c r="D77" s="40"/>
      <c r="E77" s="40"/>
      <c r="F77" s="67">
        <f>F73-I6</f>
        <v>0</v>
      </c>
      <c r="G77" s="40"/>
      <c r="H77" s="40"/>
      <c r="I77" s="40"/>
    </row>
    <row r="91" spans="4:6" x14ac:dyDescent="0.2">
      <c r="D91" s="40"/>
      <c r="E91" s="40"/>
      <c r="F91" s="40"/>
    </row>
  </sheetData>
  <mergeCells count="8">
    <mergeCell ref="F6:F7"/>
    <mergeCell ref="H6:H7"/>
    <mergeCell ref="I6:I7"/>
    <mergeCell ref="B49:B50"/>
    <mergeCell ref="C49:E49"/>
    <mergeCell ref="B6:B7"/>
    <mergeCell ref="C6:C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17</vt:i4>
      </vt:variant>
    </vt:vector>
  </HeadingPairs>
  <TitlesOfParts>
    <vt:vector size="28" baseType="lpstr">
      <vt:lpstr>Entrada AR</vt:lpstr>
      <vt:lpstr>Entrada TD</vt:lpstr>
      <vt:lpstr>Entrada CDRGL</vt:lpstr>
      <vt:lpstr>Entrada 7TRAN</vt:lpstr>
      <vt:lpstr>Reliquidación TD</vt:lpstr>
      <vt:lpstr>Reliquidación AR</vt:lpstr>
      <vt:lpstr>CUADRO DE PAGO AR</vt:lpstr>
      <vt:lpstr>Reliquidación CD RGL</vt:lpstr>
      <vt:lpstr>CUADRO DE PAGO CD RGL</vt:lpstr>
      <vt:lpstr>Reliquidación 7TRAN</vt:lpstr>
      <vt:lpstr>CUADRO DE PAGO 7TRAN</vt:lpstr>
      <vt:lpstr>'Entrada 7TRAN'!DirectorioEntrada</vt:lpstr>
      <vt:lpstr>'Entrada AR'!DirectorioEntrada</vt:lpstr>
      <vt:lpstr>'Entrada CDRGL'!DirectorioEntrada</vt:lpstr>
      <vt:lpstr>'Entrada TD'!DirectorioEntrada</vt:lpstr>
      <vt:lpstr>'Entrada 7TRAN'!FechaFacturacion</vt:lpstr>
      <vt:lpstr>'Entrada AR'!FechaFacturacion</vt:lpstr>
      <vt:lpstr>'Entrada CDRGL'!FechaFacturacion</vt:lpstr>
      <vt:lpstr>'Entrada TD'!FechaFacturacion</vt:lpstr>
      <vt:lpstr>FechaFacturacion</vt:lpstr>
      <vt:lpstr>'Entrada 7TRAN'!Responsable</vt:lpstr>
      <vt:lpstr>'Entrada AR'!Responsable</vt:lpstr>
      <vt:lpstr>'Entrada CDRGL'!Responsable</vt:lpstr>
      <vt:lpstr>'Entrada TD'!Responsable</vt:lpstr>
      <vt:lpstr>'Entrada 7TRAN'!version</vt:lpstr>
      <vt:lpstr>'Entrada AR'!version</vt:lpstr>
      <vt:lpstr>'Entrada CDRGL'!version</vt:lpstr>
      <vt:lpstr>'Entrada TD'!version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Osvaldo  Sanhueza Ramirez</dc:creator>
  <cp:lastModifiedBy>Rubén Osvaldo  Sanhueza Ramirez</cp:lastModifiedBy>
  <dcterms:created xsi:type="dcterms:W3CDTF">2024-11-28T11:38:29Z</dcterms:created>
  <dcterms:modified xsi:type="dcterms:W3CDTF">2024-11-28T11:51:58Z</dcterms:modified>
</cp:coreProperties>
</file>