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n.sanhueza\Desktop\DBCD\Distribuidoras\40_Cargos_tarifarios\2024\11 Noviembre\Pre\"/>
    </mc:Choice>
  </mc:AlternateContent>
  <xr:revisionPtr revIDLastSave="0" documentId="13_ncr:1_{0D30D957-F531-4FA5-B533-F889F2B830BB}" xr6:coauthVersionLast="47" xr6:coauthVersionMax="47" xr10:uidLastSave="{00000000-0000-0000-0000-000000000000}"/>
  <bookViews>
    <workbookView xWindow="-120" yWindow="-120" windowWidth="29040" windowHeight="15840" xr2:uid="{FB19F638-5CDA-46B1-80CD-90B1760B41AF}"/>
  </bookViews>
  <sheets>
    <sheet name="Entrada AR" sheetId="1" r:id="rId1"/>
    <sheet name="Entrada TD" sheetId="2" r:id="rId2"/>
    <sheet name="Entrada CDRGL" sheetId="3" r:id="rId3"/>
    <sheet name="Entrada 7TRAN" sheetId="4" r:id="rId4"/>
    <sheet name="Reliquidación TD" sheetId="5" r:id="rId5"/>
    <sheet name="Reliquidación AR" sheetId="6" r:id="rId6"/>
    <sheet name="CUADRO DE PAGO AR" sheetId="7" r:id="rId7"/>
    <sheet name="Reliquidación CD RGL" sheetId="8" r:id="rId8"/>
    <sheet name="CUADRO DE PAGO CD RGL" sheetId="9" r:id="rId9"/>
    <sheet name="Reliquidación 7TRAN" sheetId="10" r:id="rId10"/>
    <sheet name="CUADRO DE PAGO 7TRAN" sheetId="11" r:id="rId11"/>
  </sheets>
  <externalReferences>
    <externalReference r:id="rId12"/>
  </externalReferences>
  <definedNames>
    <definedName name="_xlnm._FilterDatabase" localSheetId="10" hidden="1">'CUADRO DE PAGO 7TRAN'!$E$6:$F$33</definedName>
    <definedName name="_xlnm._FilterDatabase" localSheetId="6" hidden="1">'CUADRO DE PAGO AR'!$F$6:$H$33</definedName>
    <definedName name="_xlnm._FilterDatabase" localSheetId="8" hidden="1">'CUADRO DE PAGO CD RGL'!$E$6:$G$33</definedName>
    <definedName name="_xlnm._FilterDatabase" localSheetId="3" hidden="1">'Entrada 7TRAN'!$F$7:$J$44</definedName>
    <definedName name="_xlnm._FilterDatabase" localSheetId="0" hidden="1">'Entrada AR'!$F$6:$J$44</definedName>
    <definedName name="_xlnm._FilterDatabase" localSheetId="2" hidden="1">'Entrada CDRGL'!$F$7:$J$44</definedName>
    <definedName name="_xlnm._FilterDatabase" localSheetId="9" hidden="1">'Reliquidación 7TRAN'!$O$8:$O$44</definedName>
    <definedName name="_xlnm._FilterDatabase" localSheetId="7" hidden="1">'Reliquidación CD RGL'!$O$8:$O$44</definedName>
    <definedName name="_xlnm._FilterDatabase" localSheetId="4" hidden="1">'Reliquidación TD'!$O$8:$O$43</definedName>
    <definedName name="DirectorioEntrada" localSheetId="3">'Entrada 7TRAN'!$G$3</definedName>
    <definedName name="DirectorioEntrada" localSheetId="0">'Entrada AR'!$G$3</definedName>
    <definedName name="DirectorioEntrada" localSheetId="2">'Entrada CDRGL'!$G$3</definedName>
    <definedName name="DirectorioEntrada" localSheetId="1">'Entrada TD'!$G$3</definedName>
    <definedName name="FechaFacturacion" localSheetId="3">'Entrada 7TRAN'!$B$3</definedName>
    <definedName name="FechaFacturacion" localSheetId="0">'Entrada AR'!$B$3</definedName>
    <definedName name="FechaFacturacion" localSheetId="2">'Entrada CDRGL'!$B$3</definedName>
    <definedName name="FechaFacturacion" localSheetId="1">'Entrada TD'!$B$3</definedName>
    <definedName name="FechaFacturacion">'Entrada AR'!$B$3</definedName>
    <definedName name="Responsable" localSheetId="3">'Entrada 7TRAN'!$G$4</definedName>
    <definedName name="Responsable" localSheetId="0">'Entrada AR'!$G$4</definedName>
    <definedName name="Responsable" localSheetId="2">'Entrada CDRGL'!$G$4</definedName>
    <definedName name="Responsable" localSheetId="1">'Entrada TD'!$G$4</definedName>
    <definedName name="version" localSheetId="3">'Entrada 7TRAN'!$G$2</definedName>
    <definedName name="version" localSheetId="0">'Entrada AR'!$G$2</definedName>
    <definedName name="version" localSheetId="2">'Entrada CDRGL'!$G$2</definedName>
    <definedName name="version" localSheetId="1">'Entrada TD'!$G$2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1" l="1"/>
  <c r="C42" i="11"/>
  <c r="C41" i="11"/>
  <c r="C40" i="11"/>
  <c r="C39" i="11"/>
  <c r="C38" i="11"/>
  <c r="C37" i="11"/>
  <c r="C36" i="11"/>
  <c r="F29" i="11" s="1"/>
  <c r="C35" i="11"/>
  <c r="F28" i="11" s="1"/>
  <c r="C34" i="11"/>
  <c r="C33" i="11"/>
  <c r="F32" i="11"/>
  <c r="C32" i="11"/>
  <c r="F31" i="11"/>
  <c r="C31" i="11"/>
  <c r="F24" i="11" s="1"/>
  <c r="F30" i="11"/>
  <c r="C30" i="11"/>
  <c r="C29" i="11"/>
  <c r="C28" i="11"/>
  <c r="F27" i="11"/>
  <c r="C27" i="11"/>
  <c r="F20" i="11" s="1"/>
  <c r="F26" i="11"/>
  <c r="C26" i="11"/>
  <c r="F25" i="11"/>
  <c r="C25" i="11"/>
  <c r="C24" i="11"/>
  <c r="F23" i="11"/>
  <c r="C23" i="11"/>
  <c r="F16" i="11" s="1"/>
  <c r="F22" i="11"/>
  <c r="C22" i="11"/>
  <c r="F21" i="11"/>
  <c r="C21" i="11"/>
  <c r="C20" i="11"/>
  <c r="F19" i="11"/>
  <c r="C19" i="11"/>
  <c r="F18" i="11"/>
  <c r="C18" i="11"/>
  <c r="F17" i="11"/>
  <c r="C17" i="11"/>
  <c r="C16" i="11"/>
  <c r="F15" i="11"/>
  <c r="C15" i="11"/>
  <c r="F12" i="11" s="1"/>
  <c r="F14" i="11"/>
  <c r="C14" i="11"/>
  <c r="F13" i="11"/>
  <c r="C13" i="11"/>
  <c r="C12" i="11"/>
  <c r="C11" i="11"/>
  <c r="F11" i="11" s="1"/>
  <c r="F10" i="11"/>
  <c r="C10" i="11"/>
  <c r="F9" i="11"/>
  <c r="C9" i="11"/>
  <c r="F8" i="11"/>
  <c r="C8" i="11"/>
  <c r="B3" i="11"/>
  <c r="J44" i="10"/>
  <c r="H44" i="10"/>
  <c r="I43" i="10"/>
  <c r="G43" i="10"/>
  <c r="L43" i="10" s="1"/>
  <c r="F43" i="10"/>
  <c r="E43" i="10"/>
  <c r="D43" i="10"/>
  <c r="C43" i="10"/>
  <c r="G42" i="10"/>
  <c r="F42" i="10"/>
  <c r="E42" i="10"/>
  <c r="D42" i="10"/>
  <c r="C42" i="10"/>
  <c r="I41" i="10"/>
  <c r="G41" i="10"/>
  <c r="L41" i="10" s="1"/>
  <c r="F41" i="10"/>
  <c r="E41" i="10"/>
  <c r="D41" i="10"/>
  <c r="C41" i="10"/>
  <c r="G40" i="10"/>
  <c r="F40" i="10"/>
  <c r="E40" i="10"/>
  <c r="D40" i="10"/>
  <c r="C40" i="10"/>
  <c r="I39" i="10"/>
  <c r="G39" i="10"/>
  <c r="L39" i="10" s="1"/>
  <c r="F39" i="10"/>
  <c r="E39" i="10"/>
  <c r="D39" i="10"/>
  <c r="C39" i="10"/>
  <c r="G38" i="10"/>
  <c r="F38" i="10"/>
  <c r="E38" i="10"/>
  <c r="D38" i="10"/>
  <c r="C38" i="10"/>
  <c r="I37" i="10"/>
  <c r="G37" i="10"/>
  <c r="L37" i="10" s="1"/>
  <c r="F37" i="10"/>
  <c r="E37" i="10"/>
  <c r="D37" i="10"/>
  <c r="C37" i="10"/>
  <c r="G36" i="10"/>
  <c r="F36" i="10"/>
  <c r="E36" i="10"/>
  <c r="D36" i="10"/>
  <c r="C36" i="10"/>
  <c r="I35" i="10"/>
  <c r="G35" i="10"/>
  <c r="L35" i="10" s="1"/>
  <c r="F35" i="10"/>
  <c r="E35" i="10"/>
  <c r="D35" i="10"/>
  <c r="C35" i="10"/>
  <c r="G34" i="10"/>
  <c r="F34" i="10"/>
  <c r="E34" i="10"/>
  <c r="D34" i="10"/>
  <c r="C34" i="10"/>
  <c r="I33" i="10"/>
  <c r="G33" i="10"/>
  <c r="L33" i="10" s="1"/>
  <c r="F33" i="10"/>
  <c r="E33" i="10"/>
  <c r="D33" i="10"/>
  <c r="C33" i="10"/>
  <c r="G32" i="10"/>
  <c r="F32" i="10"/>
  <c r="E32" i="10"/>
  <c r="D32" i="10"/>
  <c r="C32" i="10"/>
  <c r="I31" i="10"/>
  <c r="G31" i="10"/>
  <c r="L31" i="10" s="1"/>
  <c r="F31" i="10"/>
  <c r="E31" i="10"/>
  <c r="D31" i="10"/>
  <c r="C31" i="10"/>
  <c r="G30" i="10"/>
  <c r="F30" i="10"/>
  <c r="E30" i="10"/>
  <c r="D30" i="10"/>
  <c r="C30" i="10"/>
  <c r="I29" i="10"/>
  <c r="G29" i="10"/>
  <c r="L29" i="10" s="1"/>
  <c r="F29" i="10"/>
  <c r="E29" i="10"/>
  <c r="D29" i="10"/>
  <c r="C29" i="10"/>
  <c r="G28" i="10"/>
  <c r="F28" i="10"/>
  <c r="E28" i="10"/>
  <c r="D28" i="10"/>
  <c r="C28" i="10"/>
  <c r="I27" i="10"/>
  <c r="G27" i="10"/>
  <c r="L27" i="10" s="1"/>
  <c r="F27" i="10"/>
  <c r="E27" i="10"/>
  <c r="D27" i="10"/>
  <c r="C27" i="10"/>
  <c r="G26" i="10"/>
  <c r="F26" i="10"/>
  <c r="E26" i="10"/>
  <c r="D26" i="10"/>
  <c r="C26" i="10"/>
  <c r="I25" i="10"/>
  <c r="G25" i="10"/>
  <c r="L25" i="10" s="1"/>
  <c r="F25" i="10"/>
  <c r="E25" i="10"/>
  <c r="D25" i="10"/>
  <c r="C25" i="10"/>
  <c r="G24" i="10"/>
  <c r="F24" i="10"/>
  <c r="E24" i="10"/>
  <c r="D24" i="10"/>
  <c r="C24" i="10"/>
  <c r="I23" i="10"/>
  <c r="G23" i="10"/>
  <c r="L23" i="10" s="1"/>
  <c r="F23" i="10"/>
  <c r="E23" i="10"/>
  <c r="D23" i="10"/>
  <c r="C23" i="10"/>
  <c r="G22" i="10"/>
  <c r="F22" i="10"/>
  <c r="E22" i="10"/>
  <c r="D22" i="10"/>
  <c r="C22" i="10"/>
  <c r="I21" i="10"/>
  <c r="G21" i="10"/>
  <c r="L21" i="10" s="1"/>
  <c r="F21" i="10"/>
  <c r="E21" i="10"/>
  <c r="D21" i="10"/>
  <c r="C21" i="10"/>
  <c r="G20" i="10"/>
  <c r="F20" i="10"/>
  <c r="E20" i="10"/>
  <c r="D20" i="10"/>
  <c r="C20" i="10"/>
  <c r="I19" i="10"/>
  <c r="G19" i="10"/>
  <c r="L19" i="10" s="1"/>
  <c r="F19" i="10"/>
  <c r="E19" i="10"/>
  <c r="D19" i="10"/>
  <c r="C19" i="10"/>
  <c r="G18" i="10"/>
  <c r="F18" i="10"/>
  <c r="E18" i="10"/>
  <c r="D18" i="10"/>
  <c r="C18" i="10"/>
  <c r="I17" i="10"/>
  <c r="G17" i="10"/>
  <c r="L17" i="10" s="1"/>
  <c r="F17" i="10"/>
  <c r="E17" i="10"/>
  <c r="D17" i="10"/>
  <c r="C17" i="10"/>
  <c r="G16" i="10"/>
  <c r="F16" i="10"/>
  <c r="E16" i="10"/>
  <c r="D16" i="10"/>
  <c r="C16" i="10"/>
  <c r="I15" i="10"/>
  <c r="G15" i="10"/>
  <c r="L15" i="10" s="1"/>
  <c r="F15" i="10"/>
  <c r="E15" i="10"/>
  <c r="D15" i="10"/>
  <c r="C15" i="10"/>
  <c r="G14" i="10"/>
  <c r="F14" i="10"/>
  <c r="E14" i="10"/>
  <c r="D14" i="10"/>
  <c r="C14" i="10"/>
  <c r="I13" i="10"/>
  <c r="G13" i="10"/>
  <c r="L13" i="10" s="1"/>
  <c r="F13" i="10"/>
  <c r="E13" i="10"/>
  <c r="D13" i="10"/>
  <c r="C13" i="10"/>
  <c r="G12" i="10"/>
  <c r="F12" i="10"/>
  <c r="E12" i="10"/>
  <c r="D12" i="10"/>
  <c r="C12" i="10"/>
  <c r="I11" i="10"/>
  <c r="G11" i="10"/>
  <c r="L11" i="10" s="1"/>
  <c r="F11" i="10"/>
  <c r="E11" i="10"/>
  <c r="D11" i="10"/>
  <c r="C11" i="10"/>
  <c r="G10" i="10"/>
  <c r="F10" i="10"/>
  <c r="E10" i="10"/>
  <c r="E44" i="10" s="1"/>
  <c r="D10" i="10"/>
  <c r="D44" i="10" s="1"/>
  <c r="C10" i="10"/>
  <c r="I9" i="10"/>
  <c r="G9" i="10"/>
  <c r="G44" i="10" s="1"/>
  <c r="F9" i="10"/>
  <c r="F44" i="10" s="1"/>
  <c r="E9" i="10"/>
  <c r="D9" i="10"/>
  <c r="C9" i="10"/>
  <c r="C44" i="10" s="1"/>
  <c r="I4" i="10"/>
  <c r="I18" i="10" s="1"/>
  <c r="B3" i="10"/>
  <c r="H6" i="10" s="1"/>
  <c r="C42" i="9"/>
  <c r="G32" i="9" s="1"/>
  <c r="C41" i="9"/>
  <c r="G31" i="9" s="1"/>
  <c r="C40" i="9"/>
  <c r="C39" i="9"/>
  <c r="C38" i="9"/>
  <c r="C37" i="9"/>
  <c r="C36" i="9"/>
  <c r="G29" i="9" s="1"/>
  <c r="C35" i="9"/>
  <c r="G28" i="9" s="1"/>
  <c r="C34" i="9"/>
  <c r="G27" i="9" s="1"/>
  <c r="F33" i="9"/>
  <c r="C33" i="9"/>
  <c r="C32" i="9"/>
  <c r="C31" i="9"/>
  <c r="G24" i="9" s="1"/>
  <c r="G30" i="9"/>
  <c r="C30" i="9"/>
  <c r="G23" i="9" s="1"/>
  <c r="C29" i="9"/>
  <c r="C28" i="9"/>
  <c r="C27" i="9"/>
  <c r="G20" i="9" s="1"/>
  <c r="G26" i="9"/>
  <c r="C26" i="9"/>
  <c r="G19" i="9" s="1"/>
  <c r="G25" i="9"/>
  <c r="C25" i="9"/>
  <c r="C24" i="9"/>
  <c r="C23" i="9"/>
  <c r="G16" i="9" s="1"/>
  <c r="G22" i="9"/>
  <c r="C22" i="9"/>
  <c r="G15" i="9" s="1"/>
  <c r="G21" i="9"/>
  <c r="C21" i="9"/>
  <c r="C20" i="9"/>
  <c r="C19" i="9"/>
  <c r="G18" i="9"/>
  <c r="C18" i="9"/>
  <c r="G17" i="9"/>
  <c r="C17" i="9"/>
  <c r="G13" i="9" s="1"/>
  <c r="C16" i="9"/>
  <c r="C15" i="9"/>
  <c r="G14" i="9"/>
  <c r="C14" i="9"/>
  <c r="C13" i="9"/>
  <c r="C12" i="9"/>
  <c r="C11" i="9"/>
  <c r="G11" i="9" s="1"/>
  <c r="G10" i="9"/>
  <c r="C10" i="9"/>
  <c r="C9" i="9"/>
  <c r="G9" i="9" s="1"/>
  <c r="G8" i="9"/>
  <c r="C8" i="9"/>
  <c r="B3" i="9"/>
  <c r="J44" i="8"/>
  <c r="H44" i="8"/>
  <c r="I43" i="8"/>
  <c r="G43" i="8"/>
  <c r="F43" i="8"/>
  <c r="E43" i="8"/>
  <c r="D43" i="8"/>
  <c r="C43" i="8"/>
  <c r="G42" i="8"/>
  <c r="F42" i="8"/>
  <c r="E42" i="8"/>
  <c r="D42" i="8"/>
  <c r="C42" i="8"/>
  <c r="I41" i="8"/>
  <c r="G41" i="8"/>
  <c r="F41" i="8"/>
  <c r="E41" i="8"/>
  <c r="D41" i="8"/>
  <c r="C41" i="8"/>
  <c r="G40" i="8"/>
  <c r="F40" i="8"/>
  <c r="E40" i="8"/>
  <c r="D40" i="8"/>
  <c r="C40" i="8"/>
  <c r="I39" i="8"/>
  <c r="G39" i="8"/>
  <c r="F39" i="8"/>
  <c r="E39" i="8"/>
  <c r="D39" i="8"/>
  <c r="C39" i="8"/>
  <c r="G38" i="8"/>
  <c r="F38" i="8"/>
  <c r="E38" i="8"/>
  <c r="D38" i="8"/>
  <c r="C38" i="8"/>
  <c r="I37" i="8"/>
  <c r="G37" i="8"/>
  <c r="F37" i="8"/>
  <c r="E37" i="8"/>
  <c r="D37" i="8"/>
  <c r="C37" i="8"/>
  <c r="G36" i="8"/>
  <c r="F36" i="8"/>
  <c r="E36" i="8"/>
  <c r="D36" i="8"/>
  <c r="C36" i="8"/>
  <c r="I35" i="8"/>
  <c r="G35" i="8"/>
  <c r="F35" i="8"/>
  <c r="E35" i="8"/>
  <c r="D35" i="8"/>
  <c r="C35" i="8"/>
  <c r="G34" i="8"/>
  <c r="F34" i="8"/>
  <c r="E34" i="8"/>
  <c r="D34" i="8"/>
  <c r="C34" i="8"/>
  <c r="I33" i="8"/>
  <c r="G33" i="8"/>
  <c r="F33" i="8"/>
  <c r="E33" i="8"/>
  <c r="D33" i="8"/>
  <c r="C33" i="8"/>
  <c r="G32" i="8"/>
  <c r="F32" i="8"/>
  <c r="E32" i="8"/>
  <c r="D32" i="8"/>
  <c r="C32" i="8"/>
  <c r="I31" i="8"/>
  <c r="G31" i="8"/>
  <c r="F31" i="8"/>
  <c r="E31" i="8"/>
  <c r="D31" i="8"/>
  <c r="C31" i="8"/>
  <c r="G30" i="8"/>
  <c r="F30" i="8"/>
  <c r="E30" i="8"/>
  <c r="D30" i="8"/>
  <c r="C30" i="8"/>
  <c r="I29" i="8"/>
  <c r="G29" i="8"/>
  <c r="F29" i="8"/>
  <c r="E29" i="8"/>
  <c r="D29" i="8"/>
  <c r="C29" i="8"/>
  <c r="G28" i="8"/>
  <c r="F28" i="8"/>
  <c r="E28" i="8"/>
  <c r="D28" i="8"/>
  <c r="C28" i="8"/>
  <c r="I27" i="8"/>
  <c r="G27" i="8"/>
  <c r="F27" i="8"/>
  <c r="E27" i="8"/>
  <c r="D27" i="8"/>
  <c r="C27" i="8"/>
  <c r="G26" i="8"/>
  <c r="F26" i="8"/>
  <c r="E26" i="8"/>
  <c r="D26" i="8"/>
  <c r="C26" i="8"/>
  <c r="I25" i="8"/>
  <c r="G25" i="8"/>
  <c r="F25" i="8"/>
  <c r="E25" i="8"/>
  <c r="D25" i="8"/>
  <c r="C25" i="8"/>
  <c r="G24" i="8"/>
  <c r="F24" i="8"/>
  <c r="E24" i="8"/>
  <c r="D24" i="8"/>
  <c r="C24" i="8"/>
  <c r="I23" i="8"/>
  <c r="G23" i="8"/>
  <c r="F23" i="8"/>
  <c r="E23" i="8"/>
  <c r="D23" i="8"/>
  <c r="C23" i="8"/>
  <c r="G22" i="8"/>
  <c r="F22" i="8"/>
  <c r="E22" i="8"/>
  <c r="D22" i="8"/>
  <c r="C22" i="8"/>
  <c r="I21" i="8"/>
  <c r="G21" i="8"/>
  <c r="F21" i="8"/>
  <c r="E21" i="8"/>
  <c r="D21" i="8"/>
  <c r="C21" i="8"/>
  <c r="G20" i="8"/>
  <c r="F20" i="8"/>
  <c r="E20" i="8"/>
  <c r="D20" i="8"/>
  <c r="C20" i="8"/>
  <c r="I19" i="8"/>
  <c r="G19" i="8"/>
  <c r="F19" i="8"/>
  <c r="E19" i="8"/>
  <c r="D19" i="8"/>
  <c r="C19" i="8"/>
  <c r="G18" i="8"/>
  <c r="F18" i="8"/>
  <c r="E18" i="8"/>
  <c r="D18" i="8"/>
  <c r="C18" i="8"/>
  <c r="I17" i="8"/>
  <c r="G17" i="8"/>
  <c r="F17" i="8"/>
  <c r="E17" i="8"/>
  <c r="D17" i="8"/>
  <c r="C17" i="8"/>
  <c r="G16" i="8"/>
  <c r="F16" i="8"/>
  <c r="E16" i="8"/>
  <c r="D16" i="8"/>
  <c r="C16" i="8"/>
  <c r="I15" i="8"/>
  <c r="G15" i="8"/>
  <c r="F15" i="8"/>
  <c r="E15" i="8"/>
  <c r="D15" i="8"/>
  <c r="C15" i="8"/>
  <c r="G14" i="8"/>
  <c r="F14" i="8"/>
  <c r="E14" i="8"/>
  <c r="D14" i="8"/>
  <c r="C14" i="8"/>
  <c r="I13" i="8"/>
  <c r="G13" i="8"/>
  <c r="F13" i="8"/>
  <c r="E13" i="8"/>
  <c r="D13" i="8"/>
  <c r="C13" i="8"/>
  <c r="G12" i="8"/>
  <c r="F12" i="8"/>
  <c r="E12" i="8"/>
  <c r="D12" i="8"/>
  <c r="C12" i="8"/>
  <c r="I11" i="8"/>
  <c r="G11" i="8"/>
  <c r="F11" i="8"/>
  <c r="E11" i="8"/>
  <c r="D11" i="8"/>
  <c r="C11" i="8"/>
  <c r="G10" i="8"/>
  <c r="F10" i="8"/>
  <c r="F44" i="8" s="1"/>
  <c r="E10" i="8"/>
  <c r="E44" i="8" s="1"/>
  <c r="D10" i="8"/>
  <c r="D44" i="8" s="1"/>
  <c r="C10" i="8"/>
  <c r="I9" i="8"/>
  <c r="G9" i="8"/>
  <c r="F9" i="8"/>
  <c r="E9" i="8"/>
  <c r="D9" i="8"/>
  <c r="C9" i="8"/>
  <c r="C44" i="8" s="1"/>
  <c r="I4" i="8"/>
  <c r="K17" i="8" s="1"/>
  <c r="B3" i="8"/>
  <c r="H6" i="8" s="1"/>
  <c r="G33" i="7"/>
  <c r="B3" i="7"/>
  <c r="R44" i="6"/>
  <c r="J44" i="6"/>
  <c r="H44" i="6"/>
  <c r="K43" i="6"/>
  <c r="I43" i="6"/>
  <c r="G43" i="6"/>
  <c r="M43" i="6" s="1"/>
  <c r="F43" i="6"/>
  <c r="E43" i="6"/>
  <c r="D43" i="6"/>
  <c r="C43" i="6"/>
  <c r="G42" i="6"/>
  <c r="F42" i="6"/>
  <c r="E42" i="6"/>
  <c r="D42" i="6"/>
  <c r="C42" i="6"/>
  <c r="K41" i="6"/>
  <c r="G41" i="6"/>
  <c r="F41" i="6"/>
  <c r="E41" i="6"/>
  <c r="D41" i="6"/>
  <c r="C41" i="6"/>
  <c r="K40" i="6"/>
  <c r="I40" i="6"/>
  <c r="G40" i="6"/>
  <c r="M40" i="6" s="1"/>
  <c r="F40" i="6"/>
  <c r="E40" i="6"/>
  <c r="D40" i="6"/>
  <c r="C40" i="6"/>
  <c r="K39" i="6"/>
  <c r="I39" i="6"/>
  <c r="G39" i="6"/>
  <c r="M39" i="6" s="1"/>
  <c r="F39" i="6"/>
  <c r="E39" i="6"/>
  <c r="D39" i="6"/>
  <c r="C39" i="6"/>
  <c r="G38" i="6"/>
  <c r="F38" i="6"/>
  <c r="E38" i="6"/>
  <c r="D38" i="6"/>
  <c r="C38" i="6"/>
  <c r="K37" i="6"/>
  <c r="G37" i="6"/>
  <c r="F37" i="6"/>
  <c r="E37" i="6"/>
  <c r="D37" i="6"/>
  <c r="C37" i="6"/>
  <c r="K36" i="6"/>
  <c r="I36" i="6"/>
  <c r="G36" i="6"/>
  <c r="M36" i="6" s="1"/>
  <c r="F36" i="6"/>
  <c r="E36" i="6"/>
  <c r="D36" i="6"/>
  <c r="C36" i="6"/>
  <c r="K35" i="6"/>
  <c r="I35" i="6"/>
  <c r="G35" i="6"/>
  <c r="M35" i="6" s="1"/>
  <c r="F35" i="6"/>
  <c r="E35" i="6"/>
  <c r="D35" i="6"/>
  <c r="C35" i="6"/>
  <c r="G34" i="6"/>
  <c r="F34" i="6"/>
  <c r="E34" i="6"/>
  <c r="D34" i="6"/>
  <c r="C34" i="6"/>
  <c r="K33" i="6"/>
  <c r="G33" i="6"/>
  <c r="F33" i="6"/>
  <c r="E33" i="6"/>
  <c r="D33" i="6"/>
  <c r="C33" i="6"/>
  <c r="K32" i="6"/>
  <c r="I32" i="6"/>
  <c r="G32" i="6"/>
  <c r="M32" i="6" s="1"/>
  <c r="F32" i="6"/>
  <c r="E32" i="6"/>
  <c r="D32" i="6"/>
  <c r="C32" i="6"/>
  <c r="K31" i="6"/>
  <c r="I31" i="6"/>
  <c r="G31" i="6"/>
  <c r="M31" i="6" s="1"/>
  <c r="F31" i="6"/>
  <c r="E31" i="6"/>
  <c r="D31" i="6"/>
  <c r="C31" i="6"/>
  <c r="G30" i="6"/>
  <c r="F30" i="6"/>
  <c r="E30" i="6"/>
  <c r="D30" i="6"/>
  <c r="C30" i="6"/>
  <c r="K29" i="6"/>
  <c r="G29" i="6"/>
  <c r="F29" i="6"/>
  <c r="E29" i="6"/>
  <c r="D29" i="6"/>
  <c r="C29" i="6"/>
  <c r="K28" i="6"/>
  <c r="I28" i="6"/>
  <c r="G28" i="6"/>
  <c r="M28" i="6" s="1"/>
  <c r="F28" i="6"/>
  <c r="E28" i="6"/>
  <c r="D28" i="6"/>
  <c r="C28" i="6"/>
  <c r="K27" i="6"/>
  <c r="I27" i="6"/>
  <c r="G27" i="6"/>
  <c r="M27" i="6" s="1"/>
  <c r="F27" i="6"/>
  <c r="E27" i="6"/>
  <c r="D27" i="6"/>
  <c r="C27" i="6"/>
  <c r="G26" i="6"/>
  <c r="F26" i="6"/>
  <c r="E26" i="6"/>
  <c r="D26" i="6"/>
  <c r="C26" i="6"/>
  <c r="K25" i="6"/>
  <c r="G25" i="6"/>
  <c r="F25" i="6"/>
  <c r="E25" i="6"/>
  <c r="D25" i="6"/>
  <c r="C25" i="6"/>
  <c r="K24" i="6"/>
  <c r="I24" i="6"/>
  <c r="G24" i="6"/>
  <c r="M24" i="6" s="1"/>
  <c r="F24" i="6"/>
  <c r="E24" i="6"/>
  <c r="D24" i="6"/>
  <c r="C24" i="6"/>
  <c r="K23" i="6"/>
  <c r="I23" i="6"/>
  <c r="G23" i="6"/>
  <c r="M23" i="6" s="1"/>
  <c r="F23" i="6"/>
  <c r="E23" i="6"/>
  <c r="D23" i="6"/>
  <c r="C23" i="6"/>
  <c r="G22" i="6"/>
  <c r="F22" i="6"/>
  <c r="E22" i="6"/>
  <c r="D22" i="6"/>
  <c r="C22" i="6"/>
  <c r="K21" i="6"/>
  <c r="G21" i="6"/>
  <c r="F21" i="6"/>
  <c r="E21" i="6"/>
  <c r="D21" i="6"/>
  <c r="C21" i="6"/>
  <c r="K20" i="6"/>
  <c r="I20" i="6"/>
  <c r="G20" i="6"/>
  <c r="M20" i="6" s="1"/>
  <c r="F20" i="6"/>
  <c r="E20" i="6"/>
  <c r="D20" i="6"/>
  <c r="C20" i="6"/>
  <c r="K19" i="6"/>
  <c r="I19" i="6"/>
  <c r="G19" i="6"/>
  <c r="M19" i="6" s="1"/>
  <c r="F19" i="6"/>
  <c r="E19" i="6"/>
  <c r="D19" i="6"/>
  <c r="C19" i="6"/>
  <c r="G18" i="6"/>
  <c r="F18" i="6"/>
  <c r="E18" i="6"/>
  <c r="D18" i="6"/>
  <c r="C18" i="6"/>
  <c r="K17" i="6"/>
  <c r="G17" i="6"/>
  <c r="F17" i="6"/>
  <c r="E17" i="6"/>
  <c r="D17" i="6"/>
  <c r="C17" i="6"/>
  <c r="K16" i="6"/>
  <c r="I16" i="6"/>
  <c r="G16" i="6"/>
  <c r="M16" i="6" s="1"/>
  <c r="F16" i="6"/>
  <c r="E16" i="6"/>
  <c r="D16" i="6"/>
  <c r="C16" i="6"/>
  <c r="K15" i="6"/>
  <c r="I15" i="6"/>
  <c r="G15" i="6"/>
  <c r="M15" i="6" s="1"/>
  <c r="F15" i="6"/>
  <c r="E15" i="6"/>
  <c r="D15" i="6"/>
  <c r="C15" i="6"/>
  <c r="K14" i="6"/>
  <c r="G14" i="6"/>
  <c r="F14" i="6"/>
  <c r="E14" i="6"/>
  <c r="D14" i="6"/>
  <c r="C14" i="6"/>
  <c r="K13" i="6"/>
  <c r="G13" i="6"/>
  <c r="F13" i="6"/>
  <c r="E13" i="6"/>
  <c r="D13" i="6"/>
  <c r="C13" i="6"/>
  <c r="K12" i="6"/>
  <c r="I12" i="6"/>
  <c r="G12" i="6"/>
  <c r="M12" i="6" s="1"/>
  <c r="F12" i="6"/>
  <c r="E12" i="6"/>
  <c r="D12" i="6"/>
  <c r="C12" i="6"/>
  <c r="K11" i="6"/>
  <c r="I11" i="6"/>
  <c r="G11" i="6"/>
  <c r="M11" i="6" s="1"/>
  <c r="F11" i="6"/>
  <c r="E11" i="6"/>
  <c r="D11" i="6"/>
  <c r="C11" i="6"/>
  <c r="K10" i="6"/>
  <c r="G10" i="6"/>
  <c r="F10" i="6"/>
  <c r="E10" i="6"/>
  <c r="D10" i="6"/>
  <c r="C10" i="6"/>
  <c r="K9" i="6"/>
  <c r="G9" i="6"/>
  <c r="F9" i="6"/>
  <c r="F44" i="6" s="1"/>
  <c r="E9" i="6"/>
  <c r="E44" i="6" s="1"/>
  <c r="D9" i="6"/>
  <c r="D44" i="6" s="1"/>
  <c r="C9" i="6"/>
  <c r="C44" i="6" s="1"/>
  <c r="L6" i="6"/>
  <c r="I4" i="6"/>
  <c r="I41" i="6" s="1"/>
  <c r="M41" i="6" s="1"/>
  <c r="B3" i="6"/>
  <c r="H6" i="6" s="1"/>
  <c r="J44" i="5"/>
  <c r="H44" i="5"/>
  <c r="K43" i="5"/>
  <c r="I43" i="5"/>
  <c r="G43" i="5"/>
  <c r="L43" i="5" s="1"/>
  <c r="F43" i="5"/>
  <c r="E43" i="5"/>
  <c r="D43" i="5"/>
  <c r="C43" i="5"/>
  <c r="K42" i="5"/>
  <c r="I42" i="5"/>
  <c r="G42" i="5"/>
  <c r="L42" i="5" s="1"/>
  <c r="F42" i="5"/>
  <c r="E42" i="5"/>
  <c r="D42" i="5"/>
  <c r="C42" i="5"/>
  <c r="K41" i="5"/>
  <c r="I41" i="5"/>
  <c r="G41" i="5"/>
  <c r="L41" i="5" s="1"/>
  <c r="F41" i="5"/>
  <c r="E41" i="5"/>
  <c r="D41" i="5"/>
  <c r="C41" i="5"/>
  <c r="K40" i="5"/>
  <c r="I40" i="5"/>
  <c r="G40" i="5"/>
  <c r="L40" i="5" s="1"/>
  <c r="F40" i="5"/>
  <c r="E40" i="5"/>
  <c r="D40" i="5"/>
  <c r="C40" i="5"/>
  <c r="K39" i="5"/>
  <c r="I39" i="5"/>
  <c r="G39" i="5"/>
  <c r="L39" i="5" s="1"/>
  <c r="F39" i="5"/>
  <c r="E39" i="5"/>
  <c r="D39" i="5"/>
  <c r="C39" i="5"/>
  <c r="K38" i="5"/>
  <c r="I38" i="5"/>
  <c r="G38" i="5"/>
  <c r="L38" i="5" s="1"/>
  <c r="F38" i="5"/>
  <c r="E38" i="5"/>
  <c r="D38" i="5"/>
  <c r="C38" i="5"/>
  <c r="K37" i="5"/>
  <c r="I37" i="5"/>
  <c r="G37" i="5"/>
  <c r="L37" i="5" s="1"/>
  <c r="F37" i="5"/>
  <c r="E37" i="5"/>
  <c r="D37" i="5"/>
  <c r="C37" i="5"/>
  <c r="K36" i="5"/>
  <c r="I36" i="5"/>
  <c r="G36" i="5"/>
  <c r="L36" i="5" s="1"/>
  <c r="F36" i="5"/>
  <c r="E36" i="5"/>
  <c r="D36" i="5"/>
  <c r="C36" i="5"/>
  <c r="K35" i="5"/>
  <c r="I35" i="5"/>
  <c r="G35" i="5"/>
  <c r="L35" i="5" s="1"/>
  <c r="F35" i="5"/>
  <c r="E35" i="5"/>
  <c r="D35" i="5"/>
  <c r="C35" i="5"/>
  <c r="K34" i="5"/>
  <c r="I34" i="5"/>
  <c r="G34" i="5"/>
  <c r="L34" i="5" s="1"/>
  <c r="F34" i="5"/>
  <c r="E34" i="5"/>
  <c r="D34" i="5"/>
  <c r="C34" i="5"/>
  <c r="K33" i="5"/>
  <c r="I33" i="5"/>
  <c r="G33" i="5"/>
  <c r="L33" i="5" s="1"/>
  <c r="F33" i="5"/>
  <c r="E33" i="5"/>
  <c r="D33" i="5"/>
  <c r="C33" i="5"/>
  <c r="K32" i="5"/>
  <c r="I32" i="5"/>
  <c r="G32" i="5"/>
  <c r="L32" i="5" s="1"/>
  <c r="F32" i="5"/>
  <c r="E32" i="5"/>
  <c r="D32" i="5"/>
  <c r="C32" i="5"/>
  <c r="K31" i="5"/>
  <c r="I31" i="5"/>
  <c r="G31" i="5"/>
  <c r="L31" i="5" s="1"/>
  <c r="F31" i="5"/>
  <c r="E31" i="5"/>
  <c r="D31" i="5"/>
  <c r="C31" i="5"/>
  <c r="K30" i="5"/>
  <c r="I30" i="5"/>
  <c r="G30" i="5"/>
  <c r="L30" i="5" s="1"/>
  <c r="F30" i="5"/>
  <c r="E30" i="5"/>
  <c r="D30" i="5"/>
  <c r="C30" i="5"/>
  <c r="K29" i="5"/>
  <c r="I29" i="5"/>
  <c r="G29" i="5"/>
  <c r="L29" i="5" s="1"/>
  <c r="F29" i="5"/>
  <c r="E29" i="5"/>
  <c r="D29" i="5"/>
  <c r="C29" i="5"/>
  <c r="K28" i="5"/>
  <c r="I28" i="5"/>
  <c r="G28" i="5"/>
  <c r="L28" i="5" s="1"/>
  <c r="F28" i="5"/>
  <c r="E28" i="5"/>
  <c r="D28" i="5"/>
  <c r="C28" i="5"/>
  <c r="K27" i="5"/>
  <c r="I27" i="5"/>
  <c r="G27" i="5"/>
  <c r="L27" i="5" s="1"/>
  <c r="F27" i="5"/>
  <c r="E27" i="5"/>
  <c r="D27" i="5"/>
  <c r="C27" i="5"/>
  <c r="K26" i="5"/>
  <c r="I26" i="5"/>
  <c r="G26" i="5"/>
  <c r="L26" i="5" s="1"/>
  <c r="F26" i="5"/>
  <c r="E26" i="5"/>
  <c r="D26" i="5"/>
  <c r="C26" i="5"/>
  <c r="K25" i="5"/>
  <c r="I25" i="5"/>
  <c r="G25" i="5"/>
  <c r="L25" i="5" s="1"/>
  <c r="F25" i="5"/>
  <c r="E25" i="5"/>
  <c r="D25" i="5"/>
  <c r="C25" i="5"/>
  <c r="K24" i="5"/>
  <c r="I24" i="5"/>
  <c r="G24" i="5"/>
  <c r="L24" i="5" s="1"/>
  <c r="F24" i="5"/>
  <c r="E24" i="5"/>
  <c r="D24" i="5"/>
  <c r="C24" i="5"/>
  <c r="K23" i="5"/>
  <c r="I23" i="5"/>
  <c r="G23" i="5"/>
  <c r="L23" i="5" s="1"/>
  <c r="F23" i="5"/>
  <c r="E23" i="5"/>
  <c r="D23" i="5"/>
  <c r="C23" i="5"/>
  <c r="K22" i="5"/>
  <c r="I22" i="5"/>
  <c r="G22" i="5"/>
  <c r="L22" i="5" s="1"/>
  <c r="F22" i="5"/>
  <c r="E22" i="5"/>
  <c r="D22" i="5"/>
  <c r="C22" i="5"/>
  <c r="K21" i="5"/>
  <c r="I21" i="5"/>
  <c r="G21" i="5"/>
  <c r="L21" i="5" s="1"/>
  <c r="F21" i="5"/>
  <c r="E21" i="5"/>
  <c r="D21" i="5"/>
  <c r="C21" i="5"/>
  <c r="K20" i="5"/>
  <c r="I20" i="5"/>
  <c r="G20" i="5"/>
  <c r="L20" i="5" s="1"/>
  <c r="F20" i="5"/>
  <c r="E20" i="5"/>
  <c r="D20" i="5"/>
  <c r="C20" i="5"/>
  <c r="K19" i="5"/>
  <c r="I19" i="5"/>
  <c r="G19" i="5"/>
  <c r="L19" i="5" s="1"/>
  <c r="F19" i="5"/>
  <c r="E19" i="5"/>
  <c r="D19" i="5"/>
  <c r="C19" i="5"/>
  <c r="K18" i="5"/>
  <c r="I18" i="5"/>
  <c r="G18" i="5"/>
  <c r="L18" i="5" s="1"/>
  <c r="F18" i="5"/>
  <c r="E18" i="5"/>
  <c r="D18" i="5"/>
  <c r="C18" i="5"/>
  <c r="K17" i="5"/>
  <c r="I17" i="5"/>
  <c r="G17" i="5"/>
  <c r="L17" i="5" s="1"/>
  <c r="F17" i="5"/>
  <c r="E17" i="5"/>
  <c r="D17" i="5"/>
  <c r="C17" i="5"/>
  <c r="K16" i="5"/>
  <c r="I16" i="5"/>
  <c r="G16" i="5"/>
  <c r="L16" i="5" s="1"/>
  <c r="F16" i="5"/>
  <c r="E16" i="5"/>
  <c r="D16" i="5"/>
  <c r="C16" i="5"/>
  <c r="K15" i="5"/>
  <c r="I15" i="5"/>
  <c r="G15" i="5"/>
  <c r="L15" i="5" s="1"/>
  <c r="F15" i="5"/>
  <c r="E15" i="5"/>
  <c r="D15" i="5"/>
  <c r="C15" i="5"/>
  <c r="K14" i="5"/>
  <c r="I14" i="5"/>
  <c r="G14" i="5"/>
  <c r="L14" i="5" s="1"/>
  <c r="F14" i="5"/>
  <c r="E14" i="5"/>
  <c r="D14" i="5"/>
  <c r="C14" i="5"/>
  <c r="K13" i="5"/>
  <c r="I13" i="5"/>
  <c r="G13" i="5"/>
  <c r="L13" i="5" s="1"/>
  <c r="F13" i="5"/>
  <c r="E13" i="5"/>
  <c r="D13" i="5"/>
  <c r="C13" i="5"/>
  <c r="K12" i="5"/>
  <c r="I12" i="5"/>
  <c r="G12" i="5"/>
  <c r="L12" i="5" s="1"/>
  <c r="F12" i="5"/>
  <c r="E12" i="5"/>
  <c r="D12" i="5"/>
  <c r="C12" i="5"/>
  <c r="K11" i="5"/>
  <c r="I11" i="5"/>
  <c r="G11" i="5"/>
  <c r="L11" i="5" s="1"/>
  <c r="F11" i="5"/>
  <c r="E11" i="5"/>
  <c r="D11" i="5"/>
  <c r="C11" i="5"/>
  <c r="K10" i="5"/>
  <c r="I10" i="5"/>
  <c r="G10" i="5"/>
  <c r="L10" i="5" s="1"/>
  <c r="F10" i="5"/>
  <c r="E10" i="5"/>
  <c r="D10" i="5"/>
  <c r="C10" i="5"/>
  <c r="K9" i="5"/>
  <c r="K44" i="5" s="1"/>
  <c r="I9" i="5"/>
  <c r="I44" i="5" s="1"/>
  <c r="G9" i="5"/>
  <c r="F9" i="5"/>
  <c r="E9" i="5"/>
  <c r="D9" i="5"/>
  <c r="C9" i="5"/>
  <c r="B3" i="5"/>
  <c r="H6" i="5" s="1"/>
  <c r="J44" i="4"/>
  <c r="I44" i="4"/>
  <c r="H44" i="4"/>
  <c r="G44" i="4"/>
  <c r="F44" i="4"/>
  <c r="D25" i="4"/>
  <c r="D17" i="4"/>
  <c r="D9" i="4"/>
  <c r="B3" i="4"/>
  <c r="D40" i="4" s="1"/>
  <c r="G2" i="4"/>
  <c r="D34" i="4" s="1"/>
  <c r="J44" i="3"/>
  <c r="I44" i="3"/>
  <c r="H44" i="3"/>
  <c r="G44" i="3"/>
  <c r="F44" i="3"/>
  <c r="B3" i="3"/>
  <c r="D40" i="3" s="1"/>
  <c r="G2" i="3"/>
  <c r="D33" i="3" s="1"/>
  <c r="J44" i="1"/>
  <c r="I44" i="1"/>
  <c r="H44" i="1"/>
  <c r="G44" i="1"/>
  <c r="F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E44" i="5" l="1"/>
  <c r="F44" i="5"/>
  <c r="G44" i="5"/>
  <c r="C44" i="5"/>
  <c r="D44" i="5"/>
  <c r="C67" i="11"/>
  <c r="E72" i="11"/>
  <c r="C63" i="11"/>
  <c r="C51" i="11"/>
  <c r="C61" i="11"/>
  <c r="C55" i="11"/>
  <c r="C59" i="11"/>
  <c r="C65" i="11"/>
  <c r="C71" i="11"/>
  <c r="C57" i="11"/>
  <c r="I6" i="11" a="1"/>
  <c r="I6" i="11" s="1"/>
  <c r="C69" i="11"/>
  <c r="D51" i="11"/>
  <c r="D53" i="11"/>
  <c r="D55" i="11"/>
  <c r="D57" i="11"/>
  <c r="D59" i="11"/>
  <c r="D61" i="11"/>
  <c r="D63" i="11"/>
  <c r="D65" i="11"/>
  <c r="D67" i="11"/>
  <c r="D69" i="11"/>
  <c r="D71" i="11"/>
  <c r="C53" i="11"/>
  <c r="F53" i="11" s="1"/>
  <c r="E51" i="11"/>
  <c r="E53" i="11"/>
  <c r="E55" i="11"/>
  <c r="E57" i="11"/>
  <c r="E59" i="11"/>
  <c r="E61" i="11"/>
  <c r="E63" i="11"/>
  <c r="E65" i="11"/>
  <c r="E67" i="11"/>
  <c r="E69" i="11"/>
  <c r="E71" i="11"/>
  <c r="C52" i="11"/>
  <c r="C54" i="11"/>
  <c r="C56" i="11"/>
  <c r="C58" i="11"/>
  <c r="C60" i="11"/>
  <c r="C62" i="11"/>
  <c r="C64" i="11"/>
  <c r="C66" i="11"/>
  <c r="C68" i="11"/>
  <c r="C70" i="11"/>
  <c r="C72" i="11"/>
  <c r="F75" i="11"/>
  <c r="F33" i="11"/>
  <c r="D52" i="11"/>
  <c r="D54" i="11"/>
  <c r="D56" i="11"/>
  <c r="D58" i="11"/>
  <c r="D60" i="11"/>
  <c r="D62" i="11"/>
  <c r="D64" i="11"/>
  <c r="D66" i="11"/>
  <c r="D68" i="11"/>
  <c r="D70" i="11"/>
  <c r="D72" i="11"/>
  <c r="E52" i="11"/>
  <c r="E54" i="11"/>
  <c r="E56" i="11"/>
  <c r="E58" i="11"/>
  <c r="E60" i="11"/>
  <c r="E62" i="11"/>
  <c r="E64" i="11"/>
  <c r="E66" i="11"/>
  <c r="E68" i="11"/>
  <c r="E70" i="11"/>
  <c r="N25" i="10"/>
  <c r="M25" i="10"/>
  <c r="N41" i="10"/>
  <c r="M41" i="10"/>
  <c r="N15" i="10"/>
  <c r="M15" i="10"/>
  <c r="N31" i="10"/>
  <c r="M31" i="10"/>
  <c r="L18" i="10"/>
  <c r="N21" i="10"/>
  <c r="M21" i="10"/>
  <c r="L34" i="10"/>
  <c r="N37" i="10"/>
  <c r="M37" i="10"/>
  <c r="N35" i="10"/>
  <c r="M35" i="10"/>
  <c r="N11" i="10"/>
  <c r="M11" i="10"/>
  <c r="N43" i="10"/>
  <c r="M43" i="10"/>
  <c r="L14" i="10"/>
  <c r="N17" i="10"/>
  <c r="M17" i="10"/>
  <c r="L30" i="10"/>
  <c r="N33" i="10"/>
  <c r="M33" i="10"/>
  <c r="L32" i="10"/>
  <c r="N27" i="10"/>
  <c r="M27" i="10"/>
  <c r="N23" i="10"/>
  <c r="M23" i="10"/>
  <c r="N39" i="10"/>
  <c r="M39" i="10"/>
  <c r="M19" i="10"/>
  <c r="N19" i="10"/>
  <c r="L40" i="10"/>
  <c r="N13" i="10"/>
  <c r="M13" i="10"/>
  <c r="N29" i="10"/>
  <c r="M29" i="10"/>
  <c r="K9" i="10"/>
  <c r="K23" i="10"/>
  <c r="K31" i="10"/>
  <c r="K33" i="10"/>
  <c r="K35" i="10"/>
  <c r="K37" i="10"/>
  <c r="K39" i="10"/>
  <c r="K41" i="10"/>
  <c r="K43" i="10"/>
  <c r="L9" i="10"/>
  <c r="K11" i="10"/>
  <c r="K21" i="10"/>
  <c r="K13" i="10"/>
  <c r="I14" i="10"/>
  <c r="I20" i="10"/>
  <c r="L20" i="10" s="1"/>
  <c r="I22" i="10"/>
  <c r="L22" i="10" s="1"/>
  <c r="I24" i="10"/>
  <c r="L24" i="10" s="1"/>
  <c r="I26" i="10"/>
  <c r="L26" i="10" s="1"/>
  <c r="I28" i="10"/>
  <c r="L28" i="10" s="1"/>
  <c r="I30" i="10"/>
  <c r="I32" i="10"/>
  <c r="I34" i="10"/>
  <c r="I36" i="10"/>
  <c r="L36" i="10" s="1"/>
  <c r="I38" i="10"/>
  <c r="L38" i="10" s="1"/>
  <c r="I40" i="10"/>
  <c r="I42" i="10"/>
  <c r="L42" i="10" s="1"/>
  <c r="K15" i="10"/>
  <c r="K17" i="10"/>
  <c r="K25" i="10"/>
  <c r="I10" i="10"/>
  <c r="I44" i="10" s="1"/>
  <c r="I12" i="10"/>
  <c r="L12" i="10" s="1"/>
  <c r="K10" i="10"/>
  <c r="K12" i="10"/>
  <c r="K14" i="10"/>
  <c r="K16" i="10"/>
  <c r="K18" i="10"/>
  <c r="K20" i="10"/>
  <c r="K22" i="10"/>
  <c r="K24" i="10"/>
  <c r="K26" i="10"/>
  <c r="K28" i="10"/>
  <c r="K30" i="10"/>
  <c r="K32" i="10"/>
  <c r="K34" i="10"/>
  <c r="K36" i="10"/>
  <c r="K38" i="10"/>
  <c r="K40" i="10"/>
  <c r="K42" i="10"/>
  <c r="K19" i="10"/>
  <c r="K27" i="10"/>
  <c r="K29" i="10"/>
  <c r="I16" i="10"/>
  <c r="L16" i="10" s="1"/>
  <c r="K56" i="9" a="1"/>
  <c r="K56" i="9" s="1"/>
  <c r="D56" i="9" a="1"/>
  <c r="D56" i="9" s="1"/>
  <c r="M61" i="9" a="1"/>
  <c r="M61" i="9" s="1"/>
  <c r="F51" i="9" a="1"/>
  <c r="F51" i="9" s="1"/>
  <c r="K57" i="9" a="1"/>
  <c r="K57" i="9" s="1"/>
  <c r="E62" i="9" a="1"/>
  <c r="E62" i="9" s="1"/>
  <c r="N58" i="9" a="1"/>
  <c r="N58" i="9" s="1"/>
  <c r="C43" i="9"/>
  <c r="M59" i="9" a="1"/>
  <c r="M59" i="9" s="1"/>
  <c r="L59" i="9" a="1"/>
  <c r="L59" i="9" s="1"/>
  <c r="H59" i="9" a="1"/>
  <c r="H59" i="9" s="1"/>
  <c r="G12" i="9"/>
  <c r="N51" i="9" s="1" a="1"/>
  <c r="N51" i="9" s="1"/>
  <c r="H58" i="9" a="1"/>
  <c r="H58" i="9" s="1"/>
  <c r="H55" i="9" a="1"/>
  <c r="H55" i="9" s="1"/>
  <c r="N55" i="9" a="1"/>
  <c r="N55" i="9" s="1"/>
  <c r="O60" i="9" a="1"/>
  <c r="O60" i="9" s="1"/>
  <c r="K60" i="9" a="1"/>
  <c r="K60" i="9" s="1"/>
  <c r="M60" i="9" a="1"/>
  <c r="M60" i="9" s="1"/>
  <c r="I60" i="9" a="1"/>
  <c r="I60" i="9" s="1"/>
  <c r="H51" i="9" a="1"/>
  <c r="H51" i="9" s="1"/>
  <c r="D51" i="9" a="1"/>
  <c r="D51" i="9" s="1"/>
  <c r="G53" i="9" a="1"/>
  <c r="G53" i="9" s="1"/>
  <c r="H53" i="9" a="1"/>
  <c r="H53" i="9" s="1"/>
  <c r="C53" i="9" a="1"/>
  <c r="C53" i="9" s="1"/>
  <c r="N54" i="9" a="1"/>
  <c r="N54" i="9" s="1"/>
  <c r="G54" i="9" a="1"/>
  <c r="G54" i="9" s="1"/>
  <c r="C54" i="9" a="1"/>
  <c r="C54" i="9" s="1"/>
  <c r="M52" i="9" a="1"/>
  <c r="M52" i="9" s="1"/>
  <c r="I52" i="9" a="1"/>
  <c r="I52" i="9" s="1"/>
  <c r="H62" i="9" a="1"/>
  <c r="H62" i="9" s="1"/>
  <c r="D62" i="9" a="1"/>
  <c r="D62" i="9" s="1"/>
  <c r="D52" i="9" a="1"/>
  <c r="D52" i="9" s="1"/>
  <c r="F56" i="9" a="1"/>
  <c r="F56" i="9" s="1"/>
  <c r="L21" i="8"/>
  <c r="L37" i="8"/>
  <c r="L14" i="8"/>
  <c r="L32" i="8"/>
  <c r="L19" i="8"/>
  <c r="L35" i="8"/>
  <c r="L28" i="8"/>
  <c r="L17" i="8"/>
  <c r="L33" i="8"/>
  <c r="L15" i="8"/>
  <c r="L31" i="8"/>
  <c r="L13" i="8"/>
  <c r="K13" i="8"/>
  <c r="K23" i="8"/>
  <c r="L23" i="8" s="1"/>
  <c r="K41" i="8"/>
  <c r="L41" i="8" s="1"/>
  <c r="G44" i="8"/>
  <c r="K19" i="8"/>
  <c r="K27" i="8"/>
  <c r="L27" i="8" s="1"/>
  <c r="K35" i="8"/>
  <c r="I14" i="8"/>
  <c r="I18" i="8"/>
  <c r="L18" i="8" s="1"/>
  <c r="I20" i="8"/>
  <c r="L20" i="8" s="1"/>
  <c r="I22" i="8"/>
  <c r="L22" i="8" s="1"/>
  <c r="I24" i="8"/>
  <c r="L24" i="8" s="1"/>
  <c r="I26" i="8"/>
  <c r="I28" i="8"/>
  <c r="I30" i="8"/>
  <c r="I32" i="8"/>
  <c r="I34" i="8"/>
  <c r="L34" i="8" s="1"/>
  <c r="I36" i="8"/>
  <c r="L36" i="8" s="1"/>
  <c r="I38" i="8"/>
  <c r="L38" i="8" s="1"/>
  <c r="I40" i="8"/>
  <c r="L40" i="8" s="1"/>
  <c r="I42" i="8"/>
  <c r="K11" i="8"/>
  <c r="L11" i="8" s="1"/>
  <c r="K21" i="8"/>
  <c r="K29" i="8"/>
  <c r="L29" i="8" s="1"/>
  <c r="K37" i="8"/>
  <c r="I12" i="8"/>
  <c r="L12" i="8" s="1"/>
  <c r="I16" i="8"/>
  <c r="L16" i="8" s="1"/>
  <c r="K10" i="8"/>
  <c r="K12" i="8"/>
  <c r="K14" i="8"/>
  <c r="K16" i="8"/>
  <c r="K18" i="8"/>
  <c r="K20" i="8"/>
  <c r="K22" i="8"/>
  <c r="K24" i="8"/>
  <c r="K26" i="8"/>
  <c r="L26" i="8" s="1"/>
  <c r="K28" i="8"/>
  <c r="K30" i="8"/>
  <c r="L30" i="8" s="1"/>
  <c r="K32" i="8"/>
  <c r="K34" i="8"/>
  <c r="K36" i="8"/>
  <c r="K38" i="8"/>
  <c r="K40" i="8"/>
  <c r="K42" i="8"/>
  <c r="L42" i="8" s="1"/>
  <c r="K15" i="8"/>
  <c r="K25" i="8"/>
  <c r="L25" i="8" s="1"/>
  <c r="K31" i="8"/>
  <c r="K33" i="8"/>
  <c r="K39" i="8"/>
  <c r="L39" i="8" s="1"/>
  <c r="K43" i="8"/>
  <c r="L43" i="8" s="1"/>
  <c r="I10" i="8"/>
  <c r="I44" i="8" s="1"/>
  <c r="K9" i="8"/>
  <c r="K44" i="8" s="1"/>
  <c r="G74" i="7" a="1"/>
  <c r="N11" i="6"/>
  <c r="O11" i="6"/>
  <c r="O12" i="6"/>
  <c r="N12" i="6"/>
  <c r="N23" i="6"/>
  <c r="O23" i="6"/>
  <c r="O24" i="6"/>
  <c r="N24" i="6"/>
  <c r="N43" i="6"/>
  <c r="O43" i="6"/>
  <c r="O40" i="6"/>
  <c r="N40" i="6"/>
  <c r="O32" i="6"/>
  <c r="N32" i="6"/>
  <c r="N19" i="6"/>
  <c r="O19" i="6"/>
  <c r="N39" i="6"/>
  <c r="O39" i="6"/>
  <c r="N27" i="6"/>
  <c r="O27" i="6"/>
  <c r="O28" i="6"/>
  <c r="N28" i="6"/>
  <c r="N31" i="6"/>
  <c r="O31" i="6"/>
  <c r="O41" i="6"/>
  <c r="N41" i="6"/>
  <c r="O20" i="6"/>
  <c r="N20" i="6"/>
  <c r="N15" i="6"/>
  <c r="O15" i="6"/>
  <c r="O16" i="6"/>
  <c r="N16" i="6"/>
  <c r="N35" i="6"/>
  <c r="O35" i="6"/>
  <c r="O36" i="6"/>
  <c r="N36" i="6"/>
  <c r="G44" i="6"/>
  <c r="I10" i="6"/>
  <c r="M10" i="6" s="1"/>
  <c r="I14" i="6"/>
  <c r="M14" i="6" s="1"/>
  <c r="I18" i="6"/>
  <c r="M18" i="6" s="1"/>
  <c r="I22" i="6"/>
  <c r="M22" i="6" s="1"/>
  <c r="I26" i="6"/>
  <c r="M26" i="6" s="1"/>
  <c r="I30" i="6"/>
  <c r="M30" i="6" s="1"/>
  <c r="I34" i="6"/>
  <c r="M34" i="6" s="1"/>
  <c r="I38" i="6"/>
  <c r="M38" i="6" s="1"/>
  <c r="I42" i="6"/>
  <c r="K18" i="6"/>
  <c r="K22" i="6"/>
  <c r="K26" i="6"/>
  <c r="K30" i="6"/>
  <c r="K34" i="6"/>
  <c r="K44" i="6" s="1"/>
  <c r="K38" i="6"/>
  <c r="K42" i="6"/>
  <c r="I9" i="6"/>
  <c r="I13" i="6"/>
  <c r="M13" i="6" s="1"/>
  <c r="I17" i="6"/>
  <c r="M17" i="6" s="1"/>
  <c r="I21" i="6"/>
  <c r="M21" i="6" s="1"/>
  <c r="I25" i="6"/>
  <c r="M25" i="6" s="1"/>
  <c r="I29" i="6"/>
  <c r="M29" i="6" s="1"/>
  <c r="I33" i="6"/>
  <c r="M33" i="6" s="1"/>
  <c r="I37" i="6"/>
  <c r="M37" i="6" s="1"/>
  <c r="M22" i="5"/>
  <c r="N22" i="5"/>
  <c r="N12" i="5"/>
  <c r="M12" i="5"/>
  <c r="M20" i="5"/>
  <c r="N20" i="5"/>
  <c r="M28" i="5"/>
  <c r="N28" i="5"/>
  <c r="M36" i="5"/>
  <c r="N36" i="5"/>
  <c r="N27" i="5"/>
  <c r="M27" i="5"/>
  <c r="M35" i="5"/>
  <c r="N35" i="5"/>
  <c r="N43" i="5"/>
  <c r="M43" i="5"/>
  <c r="M38" i="5"/>
  <c r="N38" i="5"/>
  <c r="M42" i="5"/>
  <c r="N42" i="5"/>
  <c r="M25" i="5"/>
  <c r="N25" i="5"/>
  <c r="N33" i="5"/>
  <c r="M33" i="5"/>
  <c r="M41" i="5"/>
  <c r="N41" i="5"/>
  <c r="M30" i="5"/>
  <c r="N30" i="5"/>
  <c r="N13" i="5"/>
  <c r="M13" i="5"/>
  <c r="M37" i="5"/>
  <c r="N37" i="5"/>
  <c r="M11" i="5"/>
  <c r="N11" i="5"/>
  <c r="M10" i="5"/>
  <c r="N10" i="5"/>
  <c r="M26" i="5"/>
  <c r="N26" i="5"/>
  <c r="M16" i="5"/>
  <c r="N16" i="5"/>
  <c r="M24" i="5"/>
  <c r="N24" i="5"/>
  <c r="M32" i="5"/>
  <c r="N32" i="5"/>
  <c r="M40" i="5"/>
  <c r="N40" i="5"/>
  <c r="M14" i="5"/>
  <c r="N14" i="5"/>
  <c r="N21" i="5"/>
  <c r="M21" i="5"/>
  <c r="M29" i="5"/>
  <c r="N29" i="5"/>
  <c r="N19" i="5"/>
  <c r="M19" i="5"/>
  <c r="M18" i="5"/>
  <c r="N18" i="5"/>
  <c r="M34" i="5"/>
  <c r="N34" i="5"/>
  <c r="M17" i="5"/>
  <c r="N17" i="5"/>
  <c r="M15" i="5"/>
  <c r="N15" i="5"/>
  <c r="N23" i="5"/>
  <c r="M23" i="5"/>
  <c r="M31" i="5"/>
  <c r="N31" i="5"/>
  <c r="N39" i="5"/>
  <c r="M39" i="5"/>
  <c r="L9" i="5"/>
  <c r="D33" i="4"/>
  <c r="D10" i="4"/>
  <c r="D26" i="4"/>
  <c r="D42" i="4"/>
  <c r="D11" i="4"/>
  <c r="D19" i="4"/>
  <c r="D27" i="4"/>
  <c r="D35" i="4"/>
  <c r="D43" i="4"/>
  <c r="D41" i="4"/>
  <c r="D18" i="4"/>
  <c r="D12" i="4"/>
  <c r="D20" i="4"/>
  <c r="D28" i="4"/>
  <c r="D36" i="4"/>
  <c r="D14" i="4"/>
  <c r="D22" i="4"/>
  <c r="D30" i="4"/>
  <c r="D38" i="4"/>
  <c r="D23" i="4"/>
  <c r="D39" i="4"/>
  <c r="D13" i="4"/>
  <c r="D21" i="4"/>
  <c r="D29" i="4"/>
  <c r="D37" i="4"/>
  <c r="D15" i="4"/>
  <c r="D31" i="4"/>
  <c r="D8" i="4"/>
  <c r="D16" i="4"/>
  <c r="D24" i="4"/>
  <c r="D32" i="4"/>
  <c r="D9" i="3"/>
  <c r="D42" i="3"/>
  <c r="D17" i="3"/>
  <c r="D41" i="3"/>
  <c r="D18" i="3"/>
  <c r="D26" i="3"/>
  <c r="D19" i="3"/>
  <c r="D27" i="3"/>
  <c r="D35" i="3"/>
  <c r="D43" i="3"/>
  <c r="D12" i="3"/>
  <c r="D20" i="3"/>
  <c r="D28" i="3"/>
  <c r="D36" i="3"/>
  <c r="D13" i="3"/>
  <c r="D29" i="3"/>
  <c r="D37" i="3"/>
  <c r="D14" i="3"/>
  <c r="D22" i="3"/>
  <c r="D30" i="3"/>
  <c r="D38" i="3"/>
  <c r="D15" i="3"/>
  <c r="D23" i="3"/>
  <c r="D31" i="3"/>
  <c r="D39" i="3"/>
  <c r="D25" i="3"/>
  <c r="D10" i="3"/>
  <c r="D34" i="3"/>
  <c r="D11" i="3"/>
  <c r="D21" i="3"/>
  <c r="D8" i="3"/>
  <c r="D16" i="3"/>
  <c r="D24" i="3"/>
  <c r="D32" i="3"/>
  <c r="F65" i="11" l="1"/>
  <c r="F58" i="11"/>
  <c r="F59" i="11"/>
  <c r="F72" i="11"/>
  <c r="F56" i="11"/>
  <c r="F55" i="11"/>
  <c r="F70" i="11"/>
  <c r="F54" i="11"/>
  <c r="D73" i="11"/>
  <c r="F61" i="11"/>
  <c r="F68" i="11"/>
  <c r="F52" i="11"/>
  <c r="F69" i="11"/>
  <c r="F51" i="11"/>
  <c r="C73" i="11"/>
  <c r="F60" i="11"/>
  <c r="F66" i="11"/>
  <c r="F63" i="11"/>
  <c r="F64" i="11"/>
  <c r="F57" i="11"/>
  <c r="F62" i="11"/>
  <c r="E73" i="11"/>
  <c r="F71" i="11"/>
  <c r="F67" i="11"/>
  <c r="M20" i="10"/>
  <c r="N20" i="10"/>
  <c r="M38" i="10"/>
  <c r="N38" i="10"/>
  <c r="M12" i="10"/>
  <c r="N12" i="10"/>
  <c r="M22" i="10"/>
  <c r="N22" i="10"/>
  <c r="M36" i="10"/>
  <c r="N36" i="10"/>
  <c r="M16" i="10"/>
  <c r="N16" i="10"/>
  <c r="M28" i="10"/>
  <c r="N28" i="10"/>
  <c r="M42" i="10"/>
  <c r="N42" i="10"/>
  <c r="M26" i="10"/>
  <c r="N26" i="10"/>
  <c r="M24" i="10"/>
  <c r="N24" i="10"/>
  <c r="K44" i="10"/>
  <c r="N9" i="10"/>
  <c r="M9" i="10"/>
  <c r="M34" i="10"/>
  <c r="N34" i="10"/>
  <c r="L10" i="10"/>
  <c r="M14" i="10"/>
  <c r="N14" i="10"/>
  <c r="M18" i="10"/>
  <c r="N18" i="10"/>
  <c r="M40" i="10"/>
  <c r="N40" i="10"/>
  <c r="M30" i="10"/>
  <c r="N30" i="10"/>
  <c r="M32" i="10"/>
  <c r="N32" i="10"/>
  <c r="O57" i="9" a="1"/>
  <c r="O57" i="9" s="1"/>
  <c r="C62" i="9" a="1"/>
  <c r="C62" i="9" s="1"/>
  <c r="L62" i="9" a="1"/>
  <c r="L62" i="9" s="1"/>
  <c r="C52" i="9" a="1"/>
  <c r="C52" i="9" s="1"/>
  <c r="K54" i="9" a="1"/>
  <c r="K54" i="9" s="1"/>
  <c r="L53" i="9" a="1"/>
  <c r="L53" i="9" s="1"/>
  <c r="D53" i="9" a="1"/>
  <c r="D53" i="9" s="1"/>
  <c r="L51" i="9" a="1"/>
  <c r="L51" i="9" s="1"/>
  <c r="F60" i="9" a="1"/>
  <c r="F60" i="9" s="1"/>
  <c r="D55" i="9" a="1"/>
  <c r="D55" i="9" s="1"/>
  <c r="I55" i="9" a="1"/>
  <c r="I55" i="9" s="1"/>
  <c r="H60" i="9" a="1"/>
  <c r="H60" i="9" s="1"/>
  <c r="N59" i="9" a="1"/>
  <c r="N59" i="9" s="1"/>
  <c r="P65" i="9"/>
  <c r="L58" i="9" a="1"/>
  <c r="L58" i="9" s="1"/>
  <c r="I57" i="9" a="1"/>
  <c r="I57" i="9" s="1"/>
  <c r="D61" i="9" a="1"/>
  <c r="D61" i="9" s="1"/>
  <c r="H61" i="9" a="1"/>
  <c r="H61" i="9" s="1"/>
  <c r="L56" i="9" a="1"/>
  <c r="L56" i="9" s="1"/>
  <c r="L52" i="9" a="1"/>
  <c r="L52" i="9" s="1"/>
  <c r="O56" i="9" a="1"/>
  <c r="O56" i="9" s="1"/>
  <c r="G62" i="9" a="1"/>
  <c r="G62" i="9" s="1"/>
  <c r="J62" i="9" a="1"/>
  <c r="J62" i="9" s="1"/>
  <c r="G52" i="9" a="1"/>
  <c r="G52" i="9" s="1"/>
  <c r="O54" i="9" a="1"/>
  <c r="O54" i="9" s="1"/>
  <c r="K53" i="9" a="1"/>
  <c r="K53" i="9" s="1"/>
  <c r="F53" i="9" a="1"/>
  <c r="F53" i="9" s="1"/>
  <c r="O51" i="9" a="1"/>
  <c r="O51" i="9" s="1"/>
  <c r="J60" i="9" a="1"/>
  <c r="J60" i="9" s="1"/>
  <c r="M55" i="9" a="1"/>
  <c r="M55" i="9" s="1"/>
  <c r="C55" i="9" a="1"/>
  <c r="C55" i="9" s="1"/>
  <c r="C58" i="9" a="1"/>
  <c r="C58" i="9" s="1"/>
  <c r="K59" i="9" a="1"/>
  <c r="K59" i="9" s="1"/>
  <c r="I62" i="9" a="1"/>
  <c r="I62" i="9" s="1"/>
  <c r="E57" i="9" a="1"/>
  <c r="E57" i="9" s="1"/>
  <c r="J57" i="9" a="1"/>
  <c r="J57" i="9" s="1"/>
  <c r="C61" i="9" a="1"/>
  <c r="C61" i="9" s="1"/>
  <c r="F61" i="9" a="1"/>
  <c r="F61" i="9" s="1"/>
  <c r="G56" i="9" a="1"/>
  <c r="G56" i="9" s="1"/>
  <c r="E54" i="9" a="1"/>
  <c r="E54" i="9" s="1"/>
  <c r="O58" i="9" a="1"/>
  <c r="O58" i="9" s="1"/>
  <c r="H52" i="9" a="1"/>
  <c r="H52" i="9" s="1"/>
  <c r="H63" i="9" s="1"/>
  <c r="J56" i="9" a="1"/>
  <c r="J56" i="9" s="1"/>
  <c r="O61" i="9" a="1"/>
  <c r="O61" i="9" s="1"/>
  <c r="K62" i="9" a="1"/>
  <c r="K62" i="9" s="1"/>
  <c r="G33" i="9"/>
  <c r="K52" i="9" a="1"/>
  <c r="K52" i="9" s="1"/>
  <c r="J54" i="9" a="1"/>
  <c r="J54" i="9" s="1"/>
  <c r="E53" i="9" a="1"/>
  <c r="E53" i="9" s="1"/>
  <c r="J53" i="9" a="1"/>
  <c r="J53" i="9" s="1"/>
  <c r="C51" i="9" a="1"/>
  <c r="C51" i="9" s="1"/>
  <c r="N60" i="9" a="1"/>
  <c r="N60" i="9" s="1"/>
  <c r="L55" i="9" a="1"/>
  <c r="L55" i="9" s="1"/>
  <c r="G55" i="9" a="1"/>
  <c r="G55" i="9" s="1"/>
  <c r="J59" i="9" a="1"/>
  <c r="J59" i="9" s="1"/>
  <c r="F59" i="9" a="1"/>
  <c r="F59" i="9" s="1"/>
  <c r="D60" i="9" a="1"/>
  <c r="D60" i="9" s="1"/>
  <c r="M57" i="9" a="1"/>
  <c r="M57" i="9" s="1"/>
  <c r="N57" i="9" a="1"/>
  <c r="N57" i="9" s="1"/>
  <c r="K61" i="9" a="1"/>
  <c r="K61" i="9" s="1"/>
  <c r="J61" i="9" a="1"/>
  <c r="J61" i="9" s="1"/>
  <c r="C56" i="9" a="1"/>
  <c r="C56" i="9" s="1"/>
  <c r="M62" i="9" a="1"/>
  <c r="M62" i="9" s="1"/>
  <c r="J58" i="9" a="1"/>
  <c r="J58" i="9" s="1"/>
  <c r="M58" i="9" a="1"/>
  <c r="M58" i="9" s="1"/>
  <c r="O62" i="9" a="1"/>
  <c r="O62" i="9" s="1"/>
  <c r="F52" i="9" a="1"/>
  <c r="F52" i="9" s="1"/>
  <c r="F63" i="9" s="1"/>
  <c r="O52" i="9" a="1"/>
  <c r="O52" i="9" s="1"/>
  <c r="D54" i="9" a="1"/>
  <c r="D54" i="9" s="1"/>
  <c r="D63" i="9" s="1"/>
  <c r="I53" i="9" a="1"/>
  <c r="I53" i="9" s="1"/>
  <c r="N53" i="9" a="1"/>
  <c r="N53" i="9" s="1"/>
  <c r="E51" i="9" a="1"/>
  <c r="E51" i="9" s="1"/>
  <c r="E60" i="9" a="1"/>
  <c r="E60" i="9" s="1"/>
  <c r="E55" i="9" a="1"/>
  <c r="E55" i="9" s="1"/>
  <c r="K55" i="9" a="1"/>
  <c r="K55" i="9" s="1"/>
  <c r="C59" i="9" a="1"/>
  <c r="C59" i="9" s="1"/>
  <c r="O59" i="9" a="1"/>
  <c r="O59" i="9" s="1"/>
  <c r="J51" i="9" a="1"/>
  <c r="J51" i="9" s="1"/>
  <c r="F57" i="9" a="1"/>
  <c r="F57" i="9" s="1"/>
  <c r="D57" i="9" a="1"/>
  <c r="D57" i="9" s="1"/>
  <c r="L61" i="9" a="1"/>
  <c r="L61" i="9" s="1"/>
  <c r="N61" i="9" a="1"/>
  <c r="N61" i="9" s="1"/>
  <c r="E56" i="9" a="1"/>
  <c r="E56" i="9" s="1"/>
  <c r="M54" i="9" a="1"/>
  <c r="M54" i="9" s="1"/>
  <c r="G61" i="9" a="1"/>
  <c r="G61" i="9" s="1"/>
  <c r="F58" i="9" a="1"/>
  <c r="F58" i="9" s="1"/>
  <c r="I58" i="9" a="1"/>
  <c r="I58" i="9" s="1"/>
  <c r="F62" i="9" a="1"/>
  <c r="F62" i="9" s="1"/>
  <c r="J52" i="9" a="1"/>
  <c r="J52" i="9" s="1"/>
  <c r="E52" i="9" a="1"/>
  <c r="E52" i="9" s="1"/>
  <c r="H54" i="9" a="1"/>
  <c r="H54" i="9" s="1"/>
  <c r="M53" i="9" a="1"/>
  <c r="M53" i="9" s="1"/>
  <c r="G51" i="9" a="1"/>
  <c r="G51" i="9" s="1"/>
  <c r="I51" i="9" a="1"/>
  <c r="I51" i="9" s="1"/>
  <c r="C60" i="9" a="1"/>
  <c r="C60" i="9" s="1"/>
  <c r="F55" i="9" a="1"/>
  <c r="F55" i="9" s="1"/>
  <c r="O55" i="9" a="1"/>
  <c r="O55" i="9" s="1"/>
  <c r="G59" i="9" a="1"/>
  <c r="G59" i="9" s="1"/>
  <c r="E59" i="9" a="1"/>
  <c r="E59" i="9" s="1"/>
  <c r="D58" i="9" a="1"/>
  <c r="D58" i="9" s="1"/>
  <c r="C57" i="9" a="1"/>
  <c r="C57" i="9" s="1"/>
  <c r="H57" i="9" a="1"/>
  <c r="H57" i="9" s="1"/>
  <c r="E61" i="9" a="1"/>
  <c r="E61" i="9" s="1"/>
  <c r="N56" i="9" a="1"/>
  <c r="N56" i="9" s="1"/>
  <c r="I56" i="9" a="1"/>
  <c r="I56" i="9" s="1"/>
  <c r="K58" i="9" a="1"/>
  <c r="K58" i="9" s="1"/>
  <c r="P53" i="9"/>
  <c r="H56" i="9" a="1"/>
  <c r="H56" i="9" s="1"/>
  <c r="E58" i="9" a="1"/>
  <c r="E58" i="9" s="1"/>
  <c r="N62" i="9" a="1"/>
  <c r="N62" i="9" s="1"/>
  <c r="N52" i="9" a="1"/>
  <c r="N52" i="9" s="1"/>
  <c r="N63" i="9" s="1"/>
  <c r="F54" i="9" a="1"/>
  <c r="F54" i="9" s="1"/>
  <c r="P54" i="9" s="1"/>
  <c r="L54" i="9" a="1"/>
  <c r="L54" i="9" s="1"/>
  <c r="O53" i="9" a="1"/>
  <c r="O53" i="9" s="1"/>
  <c r="K51" i="9" a="1"/>
  <c r="K51" i="9" s="1"/>
  <c r="K63" i="9" s="1"/>
  <c r="M51" i="9" a="1"/>
  <c r="M51" i="9" s="1"/>
  <c r="G60" i="9" a="1"/>
  <c r="G60" i="9" s="1"/>
  <c r="J55" i="9" a="1"/>
  <c r="J55" i="9" s="1"/>
  <c r="G58" i="9" a="1"/>
  <c r="G58" i="9" s="1"/>
  <c r="D59" i="9" a="1"/>
  <c r="D59" i="9" s="1"/>
  <c r="I59" i="9" a="1"/>
  <c r="I59" i="9" s="1"/>
  <c r="J6" i="9" a="1"/>
  <c r="J6" i="9" s="1"/>
  <c r="G57" i="9" a="1"/>
  <c r="G57" i="9" s="1"/>
  <c r="L57" i="9" a="1"/>
  <c r="L57" i="9" s="1"/>
  <c r="I61" i="9" a="1"/>
  <c r="I61" i="9" s="1"/>
  <c r="I54" i="9" a="1"/>
  <c r="I54" i="9" s="1"/>
  <c r="M56" i="9" a="1"/>
  <c r="M56" i="9" s="1"/>
  <c r="L60" i="9" a="1"/>
  <c r="L60" i="9" s="1"/>
  <c r="M26" i="8"/>
  <c r="N26" i="8"/>
  <c r="M22" i="8"/>
  <c r="N22" i="8"/>
  <c r="M20" i="8"/>
  <c r="N20" i="8"/>
  <c r="M24" i="8"/>
  <c r="N24" i="8"/>
  <c r="N41" i="8"/>
  <c r="M41" i="8"/>
  <c r="N23" i="8"/>
  <c r="M23" i="8"/>
  <c r="N39" i="8"/>
  <c r="M39" i="8"/>
  <c r="M18" i="8"/>
  <c r="N18" i="8"/>
  <c r="N29" i="8"/>
  <c r="M29" i="8"/>
  <c r="M42" i="8"/>
  <c r="N42" i="8"/>
  <c r="M40" i="8"/>
  <c r="N40" i="8"/>
  <c r="M16" i="8"/>
  <c r="N16" i="8"/>
  <c r="M38" i="8"/>
  <c r="N38" i="8"/>
  <c r="N43" i="8"/>
  <c r="M43" i="8"/>
  <c r="M12" i="8"/>
  <c r="N12" i="8"/>
  <c r="M36" i="8"/>
  <c r="N36" i="8"/>
  <c r="M34" i="8"/>
  <c r="N34" i="8"/>
  <c r="N25" i="8"/>
  <c r="M25" i="8"/>
  <c r="M30" i="8"/>
  <c r="N30" i="8"/>
  <c r="N11" i="8"/>
  <c r="M11" i="8"/>
  <c r="N27" i="8"/>
  <c r="M27" i="8"/>
  <c r="M14" i="8"/>
  <c r="N14" i="8"/>
  <c r="N35" i="8"/>
  <c r="M35" i="8"/>
  <c r="N37" i="8"/>
  <c r="M37" i="8"/>
  <c r="M32" i="8"/>
  <c r="N32" i="8"/>
  <c r="M21" i="8"/>
  <c r="N21" i="8"/>
  <c r="M28" i="8"/>
  <c r="N28" i="8"/>
  <c r="L10" i="8"/>
  <c r="N19" i="8"/>
  <c r="M19" i="8"/>
  <c r="N33" i="8"/>
  <c r="M33" i="8"/>
  <c r="M17" i="8"/>
  <c r="N17" i="8"/>
  <c r="N13" i="8"/>
  <c r="M13" i="8"/>
  <c r="L9" i="8"/>
  <c r="N31" i="8"/>
  <c r="M31" i="8"/>
  <c r="N15" i="8"/>
  <c r="M15" i="8"/>
  <c r="O37" i="6"/>
  <c r="N37" i="6"/>
  <c r="O38" i="6"/>
  <c r="N38" i="6"/>
  <c r="O33" i="6"/>
  <c r="N33" i="6"/>
  <c r="N34" i="6"/>
  <c r="O34" i="6"/>
  <c r="O29" i="6"/>
  <c r="N29" i="6"/>
  <c r="N30" i="6"/>
  <c r="O30" i="6"/>
  <c r="O25" i="6"/>
  <c r="N25" i="6"/>
  <c r="O26" i="6"/>
  <c r="N26" i="6"/>
  <c r="O21" i="6"/>
  <c r="N21" i="6"/>
  <c r="O22" i="6"/>
  <c r="N22" i="6"/>
  <c r="O17" i="6"/>
  <c r="N17" i="6"/>
  <c r="N18" i="6"/>
  <c r="O18" i="6"/>
  <c r="N13" i="6"/>
  <c r="O13" i="6"/>
  <c r="O14" i="6"/>
  <c r="N14" i="6"/>
  <c r="I44" i="6"/>
  <c r="M9" i="6"/>
  <c r="M42" i="6"/>
  <c r="O10" i="6"/>
  <c r="N10" i="6"/>
  <c r="M9" i="5"/>
  <c r="M44" i="5" s="1"/>
  <c r="N9" i="5"/>
  <c r="N44" i="5" s="1"/>
  <c r="N47" i="5" s="1"/>
  <c r="L44" i="5"/>
  <c r="F73" i="11" l="1"/>
  <c r="M10" i="10"/>
  <c r="N10" i="10"/>
  <c r="M44" i="10"/>
  <c r="L44" i="10"/>
  <c r="N44" i="10"/>
  <c r="N47" i="10" s="1"/>
  <c r="P61" i="9"/>
  <c r="O63" i="9"/>
  <c r="C63" i="9"/>
  <c r="P51" i="9"/>
  <c r="P60" i="9"/>
  <c r="E63" i="9"/>
  <c r="P62" i="9"/>
  <c r="P59" i="9"/>
  <c r="I63" i="9"/>
  <c r="P58" i="9"/>
  <c r="P57" i="9"/>
  <c r="G63" i="9"/>
  <c r="J63" i="9"/>
  <c r="P55" i="9"/>
  <c r="L63" i="9"/>
  <c r="P52" i="9"/>
  <c r="M63" i="9"/>
  <c r="P56" i="9"/>
  <c r="N9" i="8"/>
  <c r="M9" i="8"/>
  <c r="L44" i="8"/>
  <c r="M10" i="8"/>
  <c r="N10" i="8"/>
  <c r="M44" i="6"/>
  <c r="N9" i="6"/>
  <c r="O9" i="6"/>
  <c r="N42" i="6"/>
  <c r="O42" i="6"/>
  <c r="N48" i="5"/>
  <c r="N49" i="5" s="1"/>
  <c r="O41" i="5" s="1"/>
  <c r="O43" i="5"/>
  <c r="O29" i="5"/>
  <c r="O27" i="5"/>
  <c r="O13" i="5"/>
  <c r="O11" i="5"/>
  <c r="O16" i="5"/>
  <c r="O14" i="5"/>
  <c r="O30" i="5" l="1"/>
  <c r="O32" i="5"/>
  <c r="P41" i="5"/>
  <c r="L41" i="6"/>
  <c r="C40" i="7" s="1"/>
  <c r="H30" i="7" s="1"/>
  <c r="P43" i="5"/>
  <c r="L43" i="6"/>
  <c r="C42" i="7" s="1"/>
  <c r="H32" i="7" s="1"/>
  <c r="P30" i="5"/>
  <c r="L30" i="6"/>
  <c r="C29" i="7" s="1"/>
  <c r="H22" i="7" s="1"/>
  <c r="P27" i="5"/>
  <c r="L27" i="6"/>
  <c r="C26" i="7" s="1"/>
  <c r="H19" i="7" s="1"/>
  <c r="O15" i="5"/>
  <c r="O31" i="5"/>
  <c r="P14" i="5"/>
  <c r="L14" i="6"/>
  <c r="C13" i="7" s="1"/>
  <c r="P16" i="5"/>
  <c r="L16" i="6"/>
  <c r="C15" i="7" s="1"/>
  <c r="O34" i="5"/>
  <c r="O20" i="5"/>
  <c r="O36" i="5"/>
  <c r="O17" i="5"/>
  <c r="O33" i="5"/>
  <c r="P29" i="5"/>
  <c r="L29" i="6"/>
  <c r="C28" i="7" s="1"/>
  <c r="H21" i="7" s="1"/>
  <c r="O22" i="5"/>
  <c r="O38" i="5"/>
  <c r="O19" i="5"/>
  <c r="O35" i="5"/>
  <c r="P11" i="5"/>
  <c r="L11" i="6"/>
  <c r="C10" i="7" s="1"/>
  <c r="H10" i="7" s="1"/>
  <c r="O18" i="5"/>
  <c r="O24" i="5"/>
  <c r="O40" i="5"/>
  <c r="O21" i="5"/>
  <c r="O37" i="5"/>
  <c r="P13" i="5"/>
  <c r="L13" i="6"/>
  <c r="C12" i="7" s="1"/>
  <c r="O10" i="5"/>
  <c r="O26" i="5"/>
  <c r="O42" i="5"/>
  <c r="O23" i="5"/>
  <c r="O39" i="5"/>
  <c r="P32" i="5"/>
  <c r="L32" i="6"/>
  <c r="C31" i="7" s="1"/>
  <c r="H24" i="7" s="1"/>
  <c r="O12" i="5"/>
  <c r="O28" i="5"/>
  <c r="O9" i="5"/>
  <c r="L9" i="6" s="1"/>
  <c r="O25" i="5"/>
  <c r="F77" i="11"/>
  <c r="F76" i="11"/>
  <c r="N48" i="10"/>
  <c r="N49" i="10" s="1"/>
  <c r="O26" i="10"/>
  <c r="P26" i="10" s="1"/>
  <c r="O18" i="10"/>
  <c r="P18" i="10" s="1"/>
  <c r="O43" i="10"/>
  <c r="P43" i="10" s="1"/>
  <c r="O41" i="10"/>
  <c r="P41" i="10" s="1"/>
  <c r="O39" i="10"/>
  <c r="P39" i="10" s="1"/>
  <c r="O37" i="10"/>
  <c r="P37" i="10" s="1"/>
  <c r="O35" i="10"/>
  <c r="P35" i="10" s="1"/>
  <c r="O33" i="10"/>
  <c r="P33" i="10" s="1"/>
  <c r="O31" i="10"/>
  <c r="P31" i="10" s="1"/>
  <c r="O29" i="10"/>
  <c r="P29" i="10" s="1"/>
  <c r="O27" i="10"/>
  <c r="P27" i="10" s="1"/>
  <c r="O25" i="10"/>
  <c r="P25" i="10" s="1"/>
  <c r="O23" i="10"/>
  <c r="P23" i="10" s="1"/>
  <c r="O21" i="10"/>
  <c r="P21" i="10" s="1"/>
  <c r="O19" i="10"/>
  <c r="P19" i="10" s="1"/>
  <c r="O17" i="10"/>
  <c r="P17" i="10" s="1"/>
  <c r="O15" i="10"/>
  <c r="P15" i="10" s="1"/>
  <c r="O13" i="10"/>
  <c r="P13" i="10" s="1"/>
  <c r="O11" i="10"/>
  <c r="P11" i="10" s="1"/>
  <c r="O9" i="10"/>
  <c r="O28" i="10"/>
  <c r="P28" i="10" s="1"/>
  <c r="O24" i="10"/>
  <c r="P24" i="10" s="1"/>
  <c r="O16" i="10"/>
  <c r="P16" i="10" s="1"/>
  <c r="O14" i="10"/>
  <c r="P14" i="10" s="1"/>
  <c r="O12" i="10"/>
  <c r="P12" i="10" s="1"/>
  <c r="O20" i="10"/>
  <c r="P20" i="10" s="1"/>
  <c r="O10" i="10"/>
  <c r="P10" i="10" s="1"/>
  <c r="O42" i="10"/>
  <c r="P42" i="10" s="1"/>
  <c r="O40" i="10"/>
  <c r="P40" i="10" s="1"/>
  <c r="O38" i="10"/>
  <c r="P38" i="10" s="1"/>
  <c r="O36" i="10"/>
  <c r="P36" i="10" s="1"/>
  <c r="O34" i="10"/>
  <c r="P34" i="10" s="1"/>
  <c r="O32" i="10"/>
  <c r="P32" i="10" s="1"/>
  <c r="O30" i="10"/>
  <c r="P30" i="10" s="1"/>
  <c r="O22" i="10"/>
  <c r="P22" i="10" s="1"/>
  <c r="P63" i="9"/>
  <c r="M44" i="8"/>
  <c r="N44" i="8"/>
  <c r="N47" i="8" s="1"/>
  <c r="O44" i="6"/>
  <c r="O47" i="6" s="1"/>
  <c r="N44" i="6"/>
  <c r="P9" i="5" l="1"/>
  <c r="P38" i="5"/>
  <c r="L38" i="6"/>
  <c r="C37" i="7" s="1"/>
  <c r="C8" i="7"/>
  <c r="P26" i="5"/>
  <c r="L26" i="6"/>
  <c r="C25" i="7" s="1"/>
  <c r="H18" i="7" s="1"/>
  <c r="P18" i="5"/>
  <c r="L18" i="6"/>
  <c r="C17" i="7" s="1"/>
  <c r="H13" i="7" s="1"/>
  <c r="P24" i="5"/>
  <c r="L24" i="6"/>
  <c r="C23" i="7" s="1"/>
  <c r="H16" i="7" s="1"/>
  <c r="O44" i="5"/>
  <c r="P28" i="5"/>
  <c r="L28" i="6"/>
  <c r="C27" i="7" s="1"/>
  <c r="H20" i="7" s="1"/>
  <c r="P10" i="5"/>
  <c r="P44" i="5" s="1"/>
  <c r="L10" i="6"/>
  <c r="C9" i="7" s="1"/>
  <c r="H9" i="7" s="1"/>
  <c r="P33" i="5"/>
  <c r="L33" i="6"/>
  <c r="C32" i="7" s="1"/>
  <c r="H25" i="7" s="1"/>
  <c r="P19" i="5"/>
  <c r="L19" i="6"/>
  <c r="C18" i="7" s="1"/>
  <c r="P21" i="5"/>
  <c r="L21" i="6"/>
  <c r="C20" i="7" s="1"/>
  <c r="P42" i="5"/>
  <c r="L42" i="6"/>
  <c r="C41" i="7" s="1"/>
  <c r="H31" i="7" s="1"/>
  <c r="P12" i="5"/>
  <c r="L12" i="6"/>
  <c r="C11" i="7" s="1"/>
  <c r="H11" i="7" s="1"/>
  <c r="P17" i="5"/>
  <c r="L17" i="6"/>
  <c r="C16" i="7" s="1"/>
  <c r="P31" i="5"/>
  <c r="L31" i="6"/>
  <c r="C30" i="7" s="1"/>
  <c r="H23" i="7" s="1"/>
  <c r="P37" i="5"/>
  <c r="L37" i="6"/>
  <c r="C36" i="7" s="1"/>
  <c r="H29" i="7" s="1"/>
  <c r="P20" i="5"/>
  <c r="L20" i="6"/>
  <c r="C19" i="7" s="1"/>
  <c r="P39" i="5"/>
  <c r="L39" i="6"/>
  <c r="C38" i="7" s="1"/>
  <c r="P34" i="5"/>
  <c r="L34" i="6"/>
  <c r="C33" i="7" s="1"/>
  <c r="H26" i="7" s="1"/>
  <c r="P23" i="5"/>
  <c r="L23" i="6"/>
  <c r="C22" i="7" s="1"/>
  <c r="H15" i="7" s="1"/>
  <c r="P40" i="5"/>
  <c r="L40" i="6"/>
  <c r="C39" i="7" s="1"/>
  <c r="P22" i="5"/>
  <c r="L22" i="6"/>
  <c r="C21" i="7" s="1"/>
  <c r="H14" i="7" s="1"/>
  <c r="P25" i="5"/>
  <c r="L25" i="6"/>
  <c r="C24" i="7" s="1"/>
  <c r="H17" i="7" s="1"/>
  <c r="P35" i="5"/>
  <c r="L35" i="6"/>
  <c r="C34" i="7" s="1"/>
  <c r="H27" i="7" s="1"/>
  <c r="P36" i="5"/>
  <c r="L36" i="6"/>
  <c r="C35" i="7" s="1"/>
  <c r="H28" i="7" s="1"/>
  <c r="P15" i="5"/>
  <c r="L15" i="6"/>
  <c r="C14" i="7" s="1"/>
  <c r="H12" i="7" s="1"/>
  <c r="O44" i="10"/>
  <c r="P9" i="10"/>
  <c r="P44" i="10" s="1"/>
  <c r="P67" i="9"/>
  <c r="P66" i="9"/>
  <c r="N48" i="8"/>
  <c r="N49" i="8" s="1"/>
  <c r="O16" i="8" s="1"/>
  <c r="P16" i="8" s="1"/>
  <c r="O40" i="8"/>
  <c r="P40" i="8" s="1"/>
  <c r="O30" i="8"/>
  <c r="P30" i="8" s="1"/>
  <c r="O43" i="8"/>
  <c r="P43" i="8" s="1"/>
  <c r="O41" i="8"/>
  <c r="P41" i="8" s="1"/>
  <c r="O39" i="8"/>
  <c r="P39" i="8" s="1"/>
  <c r="O37" i="8"/>
  <c r="P37" i="8" s="1"/>
  <c r="O35" i="8"/>
  <c r="P35" i="8" s="1"/>
  <c r="O33" i="8"/>
  <c r="P33" i="8" s="1"/>
  <c r="O31" i="8"/>
  <c r="P31" i="8" s="1"/>
  <c r="O29" i="8"/>
  <c r="P29" i="8" s="1"/>
  <c r="O27" i="8"/>
  <c r="P27" i="8" s="1"/>
  <c r="O25" i="8"/>
  <c r="P25" i="8" s="1"/>
  <c r="O23" i="8"/>
  <c r="P23" i="8" s="1"/>
  <c r="O21" i="8"/>
  <c r="P21" i="8" s="1"/>
  <c r="O19" i="8"/>
  <c r="P19" i="8" s="1"/>
  <c r="O17" i="8"/>
  <c r="P17" i="8" s="1"/>
  <c r="O15" i="8"/>
  <c r="P15" i="8" s="1"/>
  <c r="O13" i="8"/>
  <c r="P13" i="8" s="1"/>
  <c r="O11" i="8"/>
  <c r="P11" i="8" s="1"/>
  <c r="O9" i="8"/>
  <c r="O38" i="8"/>
  <c r="P38" i="8" s="1"/>
  <c r="O36" i="8"/>
  <c r="P36" i="8" s="1"/>
  <c r="O28" i="8"/>
  <c r="P28" i="8" s="1"/>
  <c r="O20" i="8"/>
  <c r="P20" i="8" s="1"/>
  <c r="O10" i="8"/>
  <c r="P10" i="8" s="1"/>
  <c r="O42" i="8"/>
  <c r="P42" i="8" s="1"/>
  <c r="O34" i="8"/>
  <c r="P34" i="8" s="1"/>
  <c r="O26" i="8"/>
  <c r="P26" i="8" s="1"/>
  <c r="O18" i="8"/>
  <c r="P18" i="8" s="1"/>
  <c r="O32" i="8"/>
  <c r="P32" i="8" s="1"/>
  <c r="O24" i="8"/>
  <c r="P24" i="8" s="1"/>
  <c r="O22" i="8"/>
  <c r="P22" i="8" s="1"/>
  <c r="O14" i="8"/>
  <c r="P14" i="8" s="1"/>
  <c r="O12" i="8"/>
  <c r="P12" i="8" s="1"/>
  <c r="P20" i="6"/>
  <c r="Q20" i="6" s="1"/>
  <c r="S20" i="6" s="1"/>
  <c r="P12" i="6"/>
  <c r="Q12" i="6" s="1"/>
  <c r="S12" i="6" s="1"/>
  <c r="O48" i="6"/>
  <c r="O49" i="6" s="1"/>
  <c r="P40" i="6" s="1"/>
  <c r="Q40" i="6" s="1"/>
  <c r="S40" i="6" s="1"/>
  <c r="P42" i="6"/>
  <c r="Q42" i="6" s="1"/>
  <c r="S42" i="6" s="1"/>
  <c r="P26" i="6"/>
  <c r="Q26" i="6" s="1"/>
  <c r="S26" i="6" s="1"/>
  <c r="P11" i="6"/>
  <c r="Q11" i="6" s="1"/>
  <c r="S11" i="6" s="1"/>
  <c r="P41" i="6"/>
  <c r="Q41" i="6" s="1"/>
  <c r="S41" i="6" s="1"/>
  <c r="P33" i="6"/>
  <c r="Q33" i="6" s="1"/>
  <c r="S33" i="6" s="1"/>
  <c r="P13" i="6"/>
  <c r="Q13" i="6" s="1"/>
  <c r="S13" i="6" s="1"/>
  <c r="P9" i="6"/>
  <c r="P10" i="6"/>
  <c r="Q10" i="6" s="1"/>
  <c r="S10" i="6" s="1"/>
  <c r="P19" i="6"/>
  <c r="Q19" i="6" s="1"/>
  <c r="S19" i="6" s="1"/>
  <c r="P18" i="6"/>
  <c r="Q18" i="6" s="1"/>
  <c r="S18" i="6" s="1"/>
  <c r="H8" i="7" l="1"/>
  <c r="C43" i="7"/>
  <c r="L44" i="6"/>
  <c r="O44" i="8"/>
  <c r="P9" i="8"/>
  <c r="P44" i="8" s="1"/>
  <c r="P37" i="6"/>
  <c r="Q37" i="6" s="1"/>
  <c r="S37" i="6" s="1"/>
  <c r="P34" i="6"/>
  <c r="Q34" i="6" s="1"/>
  <c r="S34" i="6" s="1"/>
  <c r="P16" i="6"/>
  <c r="Q16" i="6" s="1"/>
  <c r="S16" i="6" s="1"/>
  <c r="P31" i="6"/>
  <c r="Q31" i="6" s="1"/>
  <c r="S31" i="6" s="1"/>
  <c r="P15" i="6"/>
  <c r="Q15" i="6" s="1"/>
  <c r="S15" i="6" s="1"/>
  <c r="P27" i="6"/>
  <c r="Q27" i="6" s="1"/>
  <c r="S27" i="6" s="1"/>
  <c r="P28" i="6"/>
  <c r="Q28" i="6" s="1"/>
  <c r="S28" i="6" s="1"/>
  <c r="Q9" i="6"/>
  <c r="P24" i="6"/>
  <c r="Q24" i="6" s="1"/>
  <c r="S24" i="6" s="1"/>
  <c r="P17" i="6"/>
  <c r="Q17" i="6" s="1"/>
  <c r="S17" i="6" s="1"/>
  <c r="P39" i="6"/>
  <c r="Q39" i="6" s="1"/>
  <c r="S39" i="6" s="1"/>
  <c r="P21" i="6"/>
  <c r="Q21" i="6" s="1"/>
  <c r="S21" i="6" s="1"/>
  <c r="P23" i="6"/>
  <c r="Q23" i="6" s="1"/>
  <c r="S23" i="6" s="1"/>
  <c r="P14" i="6"/>
  <c r="Q14" i="6" s="1"/>
  <c r="S14" i="6" s="1"/>
  <c r="P32" i="6"/>
  <c r="Q32" i="6" s="1"/>
  <c r="S32" i="6" s="1"/>
  <c r="P25" i="6"/>
  <c r="Q25" i="6" s="1"/>
  <c r="S25" i="6" s="1"/>
  <c r="P35" i="6"/>
  <c r="Q35" i="6" s="1"/>
  <c r="S35" i="6" s="1"/>
  <c r="P22" i="6"/>
  <c r="Q22" i="6" s="1"/>
  <c r="S22" i="6" s="1"/>
  <c r="P36" i="6"/>
  <c r="Q36" i="6" s="1"/>
  <c r="S36" i="6" s="1"/>
  <c r="P38" i="6"/>
  <c r="Q38" i="6" s="1"/>
  <c r="S38" i="6" s="1"/>
  <c r="P29" i="6"/>
  <c r="Q29" i="6" s="1"/>
  <c r="S29" i="6" s="1"/>
  <c r="P43" i="6"/>
  <c r="Q43" i="6" s="1"/>
  <c r="S43" i="6" s="1"/>
  <c r="P30" i="6"/>
  <c r="Q30" i="6" s="1"/>
  <c r="S30" i="6" s="1"/>
  <c r="H33" i="7" l="1"/>
  <c r="K6" i="7" a="1"/>
  <c r="K6" i="7" s="1"/>
  <c r="G74" i="7"/>
  <c r="C63" i="7" a="1"/>
  <c r="C63" i="7" s="1"/>
  <c r="C71" i="7" a="1"/>
  <c r="C71" i="7" s="1"/>
  <c r="C51" i="7" a="1"/>
  <c r="C51" i="7" s="1"/>
  <c r="D63" i="7" a="1"/>
  <c r="D63" i="7" s="1"/>
  <c r="C58" i="7" a="1"/>
  <c r="C58" i="7" s="1"/>
  <c r="C69" i="7" a="1"/>
  <c r="C69" i="7" s="1"/>
  <c r="C61" i="7" a="1"/>
  <c r="C61" i="7" s="1"/>
  <c r="C60" i="7" a="1"/>
  <c r="C60" i="7" s="1"/>
  <c r="F59" i="7" a="1"/>
  <c r="F59" i="7" s="1"/>
  <c r="F57" i="7" a="1"/>
  <c r="F57" i="7" s="1"/>
  <c r="E65" i="7" a="1"/>
  <c r="E65" i="7" s="1"/>
  <c r="E61" i="7" a="1"/>
  <c r="E61" i="7" s="1"/>
  <c r="D70" i="7" a="1"/>
  <c r="D70" i="7" s="1"/>
  <c r="D59" i="7" a="1"/>
  <c r="D59" i="7" s="1"/>
  <c r="E57" i="7" a="1"/>
  <c r="E57" i="7" s="1"/>
  <c r="D65" i="7" a="1"/>
  <c r="D65" i="7" s="1"/>
  <c r="E69" i="7" a="1"/>
  <c r="E69" i="7" s="1"/>
  <c r="D69" i="7" a="1"/>
  <c r="D69" i="7" s="1"/>
  <c r="C70" i="7" a="1"/>
  <c r="C70" i="7" s="1"/>
  <c r="E59" i="7" a="1"/>
  <c r="E59" i="7" s="1"/>
  <c r="D57" i="7" a="1"/>
  <c r="D57" i="7" s="1"/>
  <c r="F65" i="7" a="1"/>
  <c r="F65" i="7" s="1"/>
  <c r="E71" i="7" a="1"/>
  <c r="E71" i="7" s="1"/>
  <c r="F67" i="7" a="1"/>
  <c r="F67" i="7" s="1"/>
  <c r="F70" i="7" a="1"/>
  <c r="F70" i="7" s="1"/>
  <c r="D64" i="7" a="1"/>
  <c r="D64" i="7" s="1"/>
  <c r="D52" i="7" a="1"/>
  <c r="D52" i="7" s="1"/>
  <c r="C56" i="7" a="1"/>
  <c r="C56" i="7" s="1"/>
  <c r="E51" i="7" a="1"/>
  <c r="E51" i="7" s="1"/>
  <c r="E70" i="7" a="1"/>
  <c r="E70" i="7" s="1"/>
  <c r="F64" i="7" a="1"/>
  <c r="F64" i="7" s="1"/>
  <c r="F52" i="7" a="1"/>
  <c r="F52" i="7" s="1"/>
  <c r="D56" i="7" a="1"/>
  <c r="D56" i="7" s="1"/>
  <c r="E60" i="7" a="1"/>
  <c r="E60" i="7" s="1"/>
  <c r="E67" i="7" a="1"/>
  <c r="E67" i="7" s="1"/>
  <c r="F69" i="7" a="1"/>
  <c r="F69" i="7" s="1"/>
  <c r="E64" i="7" a="1"/>
  <c r="E64" i="7" s="1"/>
  <c r="E52" i="7" a="1"/>
  <c r="E52" i="7" s="1"/>
  <c r="F56" i="7" a="1"/>
  <c r="F56" i="7" s="1"/>
  <c r="E58" i="7" a="1"/>
  <c r="E58" i="7" s="1"/>
  <c r="D62" i="7" a="1"/>
  <c r="D62" i="7" s="1"/>
  <c r="C67" i="7" a="1"/>
  <c r="C67" i="7" s="1"/>
  <c r="F61" i="7" a="1"/>
  <c r="F61" i="7" s="1"/>
  <c r="F60" i="7" a="1"/>
  <c r="F60" i="7" s="1"/>
  <c r="C52" i="7" a="1"/>
  <c r="C52" i="7" s="1"/>
  <c r="E56" i="7" a="1"/>
  <c r="E56" i="7" s="1"/>
  <c r="F51" i="7" a="1"/>
  <c r="F51" i="7" s="1"/>
  <c r="D61" i="7" a="1"/>
  <c r="D61" i="7" s="1"/>
  <c r="F54" i="7" a="1"/>
  <c r="F54" i="7" s="1"/>
  <c r="E55" i="7" a="1"/>
  <c r="E55" i="7" s="1"/>
  <c r="C59" i="7" a="1"/>
  <c r="C59" i="7" s="1"/>
  <c r="G59" i="7" s="1"/>
  <c r="C57" i="7" a="1"/>
  <c r="C57" i="7" s="1"/>
  <c r="G57" i="7" s="1"/>
  <c r="C65" i="7" a="1"/>
  <c r="C65" i="7" s="1"/>
  <c r="E63" i="7" a="1"/>
  <c r="E63" i="7" s="1"/>
  <c r="D58" i="7" a="1"/>
  <c r="D58" i="7" s="1"/>
  <c r="P44" i="6"/>
  <c r="S9" i="6"/>
  <c r="S44" i="6" s="1"/>
  <c r="Q44" i="6"/>
  <c r="G65" i="7" l="1"/>
  <c r="G52" i="7"/>
  <c r="G61" i="7"/>
  <c r="G70" i="7"/>
  <c r="G56" i="7"/>
  <c r="G69" i="7"/>
  <c r="C64" i="7" a="1"/>
  <c r="C64" i="7" s="1"/>
  <c r="G64" i="7" s="1"/>
  <c r="C54" i="7" a="1"/>
  <c r="C54" i="7" s="1"/>
  <c r="D54" i="7" a="1"/>
  <c r="D54" i="7" s="1"/>
  <c r="C53" i="7" a="1"/>
  <c r="C53" i="7" s="1"/>
  <c r="D71" i="7" a="1"/>
  <c r="D71" i="7" s="1"/>
  <c r="E53" i="7" a="1"/>
  <c r="E53" i="7" s="1"/>
  <c r="F53" i="7" a="1"/>
  <c r="F53" i="7" s="1"/>
  <c r="D53" i="7" a="1"/>
  <c r="D53" i="7" s="1"/>
  <c r="F62" i="7" a="1"/>
  <c r="F62" i="7" s="1"/>
  <c r="F58" i="7" a="1"/>
  <c r="F58" i="7" s="1"/>
  <c r="G58" i="7" s="1"/>
  <c r="E54" i="7" a="1"/>
  <c r="E54" i="7" s="1"/>
  <c r="D60" i="7" a="1"/>
  <c r="D60" i="7" s="1"/>
  <c r="G60" i="7" s="1"/>
  <c r="D67" i="7" a="1"/>
  <c r="D67" i="7" s="1"/>
  <c r="G67" i="7" s="1"/>
  <c r="C62" i="7" a="1"/>
  <c r="C62" i="7" s="1"/>
  <c r="E66" i="7" a="1"/>
  <c r="E66" i="7" s="1"/>
  <c r="E62" i="7" a="1"/>
  <c r="E62" i="7" s="1"/>
  <c r="F66" i="7" a="1"/>
  <c r="F66" i="7" s="1"/>
  <c r="F68" i="7" a="1"/>
  <c r="F68" i="7" s="1"/>
  <c r="C55" i="7" a="1"/>
  <c r="C55" i="7" s="1"/>
  <c r="D66" i="7" a="1"/>
  <c r="D66" i="7" s="1"/>
  <c r="E68" i="7" a="1"/>
  <c r="E68" i="7" s="1"/>
  <c r="D51" i="7" a="1"/>
  <c r="D51" i="7" s="1"/>
  <c r="F55" i="7" a="1"/>
  <c r="F55" i="7" s="1"/>
  <c r="C66" i="7" a="1"/>
  <c r="C66" i="7" s="1"/>
  <c r="C68" i="7" a="1"/>
  <c r="C68" i="7" s="1"/>
  <c r="G68" i="7" s="1"/>
  <c r="F71" i="7" a="1"/>
  <c r="F71" i="7" s="1"/>
  <c r="D55" i="7" a="1"/>
  <c r="D55" i="7" s="1"/>
  <c r="F63" i="7" a="1"/>
  <c r="F63" i="7" s="1"/>
  <c r="G63" i="7" s="1"/>
  <c r="D68" i="7" a="1"/>
  <c r="D68" i="7" s="1"/>
  <c r="F72" i="7" l="1"/>
  <c r="D72" i="7"/>
  <c r="E72" i="7"/>
  <c r="G71" i="7"/>
  <c r="C72" i="7"/>
  <c r="G55" i="7"/>
  <c r="G54" i="7"/>
  <c r="G51" i="7"/>
  <c r="G66" i="7"/>
  <c r="G62" i="7"/>
  <c r="G53" i="7"/>
  <c r="G72" i="7" l="1"/>
  <c r="G76" i="7" l="1"/>
  <c r="G7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<sst xmlns="http://schemas.openxmlformats.org/spreadsheetml/2006/main" count="973" uniqueCount="100">
  <si>
    <t>Mes (Fecha de emisión de factura)</t>
  </si>
  <si>
    <t>Versión</t>
  </si>
  <si>
    <t>pre</t>
  </si>
  <si>
    <t>N°</t>
  </si>
  <si>
    <t>Clave</t>
  </si>
  <si>
    <t>Libro DP</t>
  </si>
  <si>
    <t>Distribuidora o Cooperativa</t>
  </si>
  <si>
    <t>EFACTAT</t>
  </si>
  <si>
    <t xml:space="preserve">EFACTBT </t>
  </si>
  <si>
    <t>EINYAT</t>
  </si>
  <si>
    <t>EINYBT</t>
  </si>
  <si>
    <t>MFAR</t>
  </si>
  <si>
    <t>[kWh]</t>
  </si>
  <si>
    <t>[$]</t>
  </si>
  <si>
    <t>CEC</t>
  </si>
  <si>
    <t>COELCHA</t>
  </si>
  <si>
    <t>EEC</t>
  </si>
  <si>
    <t>EMELCA</t>
  </si>
  <si>
    <t>CGED</t>
  </si>
  <si>
    <t>ELECDA SIC</t>
  </si>
  <si>
    <t>ELECDA</t>
  </si>
  <si>
    <t>EMELAT</t>
  </si>
  <si>
    <t>EMELECTRIC</t>
  </si>
  <si>
    <t>EMETAL</t>
  </si>
  <si>
    <t>ENEL DISTRIBUCIÓN</t>
  </si>
  <si>
    <t>LUZ ANDES</t>
  </si>
  <si>
    <t>CONAFE A</t>
  </si>
  <si>
    <t>CONAFE B</t>
  </si>
  <si>
    <t>ENELSA</t>
  </si>
  <si>
    <t>CRELL</t>
  </si>
  <si>
    <t>COPELEC</t>
  </si>
  <si>
    <t>EEPA</t>
  </si>
  <si>
    <t>COOPREL</t>
  </si>
  <si>
    <t>SOCOEPA</t>
  </si>
  <si>
    <t>COOPELAN</t>
  </si>
  <si>
    <t>FRONTEL</t>
  </si>
  <si>
    <t>LUZ OSORNO</t>
  </si>
  <si>
    <t>SAESA</t>
  </si>
  <si>
    <t>CODINER</t>
  </si>
  <si>
    <t>CHILQUINTA</t>
  </si>
  <si>
    <t>EDECSA</t>
  </si>
  <si>
    <t>LITORAL</t>
  </si>
  <si>
    <t>LUZLINARES</t>
  </si>
  <si>
    <t>LUZPARRAL</t>
  </si>
  <si>
    <t>TIL TIL</t>
  </si>
  <si>
    <t>TIL-TIL</t>
  </si>
  <si>
    <t>EMELARI</t>
  </si>
  <si>
    <t>ELIQSA</t>
  </si>
  <si>
    <t>ELECDA SING</t>
  </si>
  <si>
    <t>COOPERSOL</t>
  </si>
  <si>
    <t>DESA</t>
  </si>
  <si>
    <t>MATAQUITO</t>
  </si>
  <si>
    <t>Total</t>
  </si>
  <si>
    <t>VTD</t>
  </si>
  <si>
    <t>MFCD RGL</t>
  </si>
  <si>
    <t>MF7TRAN</t>
  </si>
  <si>
    <t>Montos Recaudados TD</t>
  </si>
  <si>
    <t>Variación IPC %</t>
  </si>
  <si>
    <t>Saldo + IPC</t>
  </si>
  <si>
    <t>Ajuste de saldo</t>
  </si>
  <si>
    <t>Ajuste de saldo + IPC</t>
  </si>
  <si>
    <t>VTD +Ajuste</t>
  </si>
  <si>
    <t>VTD Negativo</t>
  </si>
  <si>
    <t>VTD Positivo</t>
  </si>
  <si>
    <t>Monto a Transferir x empresa</t>
  </si>
  <si>
    <t>Saldo</t>
  </si>
  <si>
    <t>TOTAL</t>
  </si>
  <si>
    <t>Total VTD Positivo</t>
  </si>
  <si>
    <t>Total VTD Negativo</t>
  </si>
  <si>
    <t>Monto Final</t>
  </si>
  <si>
    <t>Montos Recaudados AR</t>
  </si>
  <si>
    <t>VA</t>
  </si>
  <si>
    <t>VR</t>
  </si>
  <si>
    <t>Diferencias en saldos</t>
  </si>
  <si>
    <t>Saldo final</t>
  </si>
  <si>
    <t>VTRS</t>
  </si>
  <si>
    <t>VTAS</t>
  </si>
  <si>
    <t>Montos a Transferir por Reliquidación de Ajustes y Recargos entre empresas concesionarias</t>
  </si>
  <si>
    <t>Montos a Transferir x empresa</t>
  </si>
  <si>
    <t>Diferencias en cuadros de pagos (1)</t>
  </si>
  <si>
    <t>Montos a Transferir agrupado</t>
  </si>
  <si>
    <t>Montos a Transferir</t>
  </si>
  <si>
    <t>CGE</t>
  </si>
  <si>
    <t>ENEL DISTRIBUCION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</si>
  <si>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>: Diferencia de Pagos Cálculo Orig. AR vs Reliquidacion AR, periodo enero 2024 - junio 2024</t>
    </r>
  </si>
  <si>
    <t>Cuadro de Pagos</t>
  </si>
  <si>
    <t>Pagan (montos en $)</t>
  </si>
  <si>
    <t>Reciben (montos en $)</t>
  </si>
  <si>
    <t>Montos Recaudados CD RGL</t>
  </si>
  <si>
    <t>MFCDRGL</t>
  </si>
  <si>
    <t>VD</t>
  </si>
  <si>
    <t>VC</t>
  </si>
  <si>
    <t>VTCS</t>
  </si>
  <si>
    <t>VTDS</t>
  </si>
  <si>
    <t>Montos a Transferir por Reliquidación de Cargo y Descuento por Reconocimiento de Generación Local entre empresas concesionarias</t>
  </si>
  <si>
    <t xml:space="preserve"> 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</si>
  <si>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>: Diferencia de Pagos Cálculo Orig. CD RGL Total vs Reliquidacion CD RGL Total, periodo enero 2024 - junio 2024</t>
    </r>
  </si>
  <si>
    <t>Montos Recaudados 7TRAN</t>
  </si>
  <si>
    <t>Montos a transferir por descuento en comunas reconocidas como zonas en transición (7° Transitorio)</t>
  </si>
  <si>
    <t>resumen_montos_facturados_TD_AR_CDpRGL_2411pre.xlsx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</si>
</sst>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#,##0_ ;[Red]\-#,##0\ "/>
    <numFmt numFmtId="165" formatCode="_-* #,##0_-;\-* #,##0_-;_-* &quot;-&quot;_-;_-@_-"/>
    <numFmt numFmtId="166" formatCode="mmmm\ yyyy"/>
    <numFmt numFmtId="167" formatCode="0.0000%"/>
    <numFmt numFmtId="168" formatCode="0.00000%"/>
  </numFmts>
  <fonts count="11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15" fontId="4" fillId="0" borderId="1" xfId="0" applyNumberFormat="1" applyFont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7" fillId="0" borderId="1" xfId="0" applyNumberFormat="1" applyFont="1" applyBorder="1"/>
    <xf numFmtId="164" fontId="0" fillId="0" borderId="0" xfId="0" applyNumberFormat="1"/>
    <xf numFmtId="9" fontId="0" fillId="0" borderId="0" xfId="3" applyFont="1"/>
    <xf numFmtId="0" fontId="6" fillId="0" borderId="4" xfId="0" applyFont="1" applyBorder="1"/>
    <xf numFmtId="0" fontId="0" fillId="0" borderId="2" xfId="0" applyBorder="1"/>
    <xf numFmtId="0" fontId="0" fillId="0" borderId="3" xfId="0" applyBorder="1"/>
    <xf numFmtId="164" fontId="9" fillId="0" borderId="1" xfId="0" applyNumberFormat="1" applyFont="1" applyBorder="1"/>
    <xf numFmtId="3" fontId="0" fillId="0" borderId="0" xfId="0" applyNumberFormat="1"/>
    <xf numFmtId="165" fontId="0" fillId="0" borderId="0" xfId="1" applyFont="1"/>
    <xf numFmtId="0" fontId="6" fillId="0" borderId="0" xfId="0" applyFont="1"/>
    <xf numFmtId="0" fontId="2" fillId="0" borderId="0" xfId="0" applyFo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7" fontId="0" fillId="0" borderId="1" xfId="0" applyNumberFormat="1" applyBorder="1"/>
    <xf numFmtId="167" fontId="0" fillId="0" borderId="0" xfId="0" applyNumberFormat="1"/>
    <xf numFmtId="168" fontId="0" fillId="0" borderId="0" xfId="3" applyNumberFormat="1" applyFont="1" applyFill="1"/>
    <xf numFmtId="17" fontId="6" fillId="0" borderId="5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17" fontId="6" fillId="0" borderId="7" xfId="0" applyNumberFormat="1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164" fontId="7" fillId="0" borderId="5" xfId="0" applyNumberFormat="1" applyFont="1" applyBorder="1"/>
    <xf numFmtId="0" fontId="0" fillId="0" borderId="10" xfId="0" applyBorder="1"/>
    <xf numFmtId="164" fontId="7" fillId="0" borderId="7" xfId="0" applyNumberFormat="1" applyFont="1" applyBorder="1"/>
    <xf numFmtId="0" fontId="0" fillId="0" borderId="9" xfId="0" applyBorder="1"/>
    <xf numFmtId="164" fontId="7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6" fillId="0" borderId="11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3" borderId="0" xfId="0" applyFill="1"/>
    <xf numFmtId="3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2" fillId="0" borderId="0" xfId="0" applyNumberFormat="1" applyFont="1"/>
    <xf numFmtId="165" fontId="2" fillId="0" borderId="0" xfId="1" applyFont="1"/>
    <xf numFmtId="168" fontId="2" fillId="0" borderId="0" xfId="3" applyNumberFormat="1" applyFont="1" applyFill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7" fillId="0" borderId="0" xfId="0" applyNumberFormat="1" applyFont="1"/>
    <xf numFmtId="1" fontId="0" fillId="0" borderId="0" xfId="0" applyNumberFormat="1"/>
    <xf numFmtId="0" fontId="6" fillId="0" borderId="0" xfId="0" applyFont="1" applyAlignment="1">
      <alignment horizontal="left" indent="1"/>
    </xf>
    <xf numFmtId="0" fontId="0" fillId="3" borderId="0" xfId="0" applyFill="1" applyAlignment="1">
      <alignment horizontal="left" indent="1"/>
    </xf>
    <xf numFmtId="3" fontId="0" fillId="0" borderId="0" xfId="0" applyNumberFormat="1" applyAlignment="1">
      <alignment vertical="center"/>
    </xf>
    <xf numFmtId="164" fontId="9" fillId="0" borderId="0" xfId="0" applyNumberFormat="1" applyFont="1"/>
    <xf numFmtId="0" fontId="1" fillId="0" borderId="0" xfId="4"/>
    <xf numFmtId="3" fontId="6" fillId="0" borderId="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3" fontId="6" fillId="0" borderId="8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0" fillId="4" borderId="8" xfId="0" applyNumberFormat="1" applyFill="1" applyBorder="1"/>
    <xf numFmtId="3" fontId="0" fillId="0" borderId="1" xfId="0" applyNumberFormat="1" applyBorder="1" applyAlignment="1">
      <alignment vertical="center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42" fontId="2" fillId="0" borderId="0" xfId="2" applyFont="1"/>
    <xf numFmtId="0" fontId="2" fillId="3" borderId="0" xfId="0" applyFont="1" applyFill="1"/>
    <xf numFmtId="0" fontId="6" fillId="3" borderId="0" xfId="0" applyFont="1" applyFill="1" applyAlignment="1">
      <alignment horizontal="left"/>
    </xf>
    <xf numFmtId="166" fontId="6" fillId="3" borderId="0" xfId="0" applyNumberFormat="1" applyFont="1" applyFill="1" applyAlignment="1">
      <alignment horizontal="left"/>
    </xf>
    <xf numFmtId="17" fontId="6" fillId="3" borderId="0" xfId="0" applyNumberFormat="1" applyFont="1" applyFill="1" applyAlignment="1">
      <alignment horizontal="left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7" fontId="6" fillId="3" borderId="8" xfId="0" applyNumberFormat="1" applyFont="1" applyFill="1" applyBorder="1" applyAlignment="1">
      <alignment horizontal="center" vertical="center" wrapText="1"/>
    </xf>
    <xf numFmtId="0" fontId="0" fillId="3" borderId="6" xfId="0" applyFill="1" applyBorder="1"/>
    <xf numFmtId="164" fontId="7" fillId="3" borderId="5" xfId="0" applyNumberFormat="1" applyFont="1" applyFill="1" applyBorder="1"/>
    <xf numFmtId="165" fontId="2" fillId="3" borderId="0" xfId="1" applyFont="1" applyFill="1" applyBorder="1"/>
    <xf numFmtId="164" fontId="7" fillId="3" borderId="7" xfId="0" applyNumberFormat="1" applyFont="1" applyFill="1" applyBorder="1"/>
    <xf numFmtId="165" fontId="2" fillId="3" borderId="10" xfId="1" applyFont="1" applyFill="1" applyBorder="1"/>
    <xf numFmtId="0" fontId="0" fillId="3" borderId="10" xfId="0" applyFill="1" applyBorder="1"/>
    <xf numFmtId="0" fontId="0" fillId="3" borderId="9" xfId="0" applyFill="1" applyBorder="1"/>
    <xf numFmtId="0" fontId="6" fillId="3" borderId="9" xfId="0" applyFont="1" applyFill="1" applyBorder="1" applyAlignment="1">
      <alignment horizontal="left" indent="1"/>
    </xf>
    <xf numFmtId="164" fontId="9" fillId="3" borderId="1" xfId="0" applyNumberFormat="1" applyFont="1" applyFill="1" applyBorder="1"/>
    <xf numFmtId="3" fontId="2" fillId="3" borderId="0" xfId="0" applyNumberFormat="1" applyFont="1" applyFill="1"/>
    <xf numFmtId="0" fontId="6" fillId="3" borderId="0" xfId="0" applyFont="1" applyFill="1" applyAlignment="1">
      <alignment horizontal="left" indent="1"/>
    </xf>
    <xf numFmtId="3" fontId="0" fillId="3" borderId="0" xfId="0" applyNumberFormat="1" applyFill="1"/>
    <xf numFmtId="164" fontId="7" fillId="3" borderId="8" xfId="0" applyNumberFormat="1" applyFont="1" applyFill="1" applyBorder="1"/>
    <xf numFmtId="165" fontId="2" fillId="3" borderId="0" xfId="1" applyFont="1" applyFill="1"/>
    <xf numFmtId="3" fontId="0" fillId="3" borderId="0" xfId="0" applyNumberFormat="1" applyFill="1" applyAlignment="1">
      <alignment vertical="center"/>
    </xf>
    <xf numFmtId="0" fontId="6" fillId="3" borderId="0" xfId="0" applyFont="1" applyFill="1"/>
    <xf numFmtId="3" fontId="6" fillId="3" borderId="5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" fontId="0" fillId="5" borderId="8" xfId="0" applyNumberFormat="1" applyFill="1" applyBorder="1"/>
    <xf numFmtId="3" fontId="0" fillId="3" borderId="8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3" fontId="6" fillId="3" borderId="0" xfId="0" applyNumberFormat="1" applyFont="1" applyFill="1"/>
    <xf numFmtId="0" fontId="6" fillId="3" borderId="5" xfId="0" applyFont="1" applyFill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vertical="center"/>
    </xf>
  </cellXfs>
  <cellStyles count="5">
    <cellStyle name="Millares [0]" xfId="1" builtinId="6"/>
    <cellStyle name="Moneda [0]" xfId="2" builtinId="7"/>
    <cellStyle name="Normal" xfId="0" builtinId="0"/>
    <cellStyle name="Normal 3" xfId="4" xr:uid="{844E62D8-8090-4432-AA40-01B823A01E7D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justes%20y%20recargos%202411_p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AR"/>
      <sheetName val="Entrada TD"/>
      <sheetName val="Entrada CDRGL"/>
      <sheetName val="Entrada 7TRAN"/>
      <sheetName val="Reliquidación TD"/>
      <sheetName val="CUADRO DE PAGO TD"/>
      <sheetName val="Reliquidación AR"/>
      <sheetName val="CUADRO DE PAGO AR"/>
      <sheetName val="Reliquidación CD RGL"/>
      <sheetName val="CUADRO DE PAGO CD RGL"/>
      <sheetName val="Reliquidación 7TRAN"/>
      <sheetName val="CUADRO DE PAGO 7TRAN"/>
    </sheetNames>
    <definedNames>
      <definedName name="CrearLibroAR"/>
      <definedName name="RescataDatos"/>
      <definedName name="RescataDatos_7TRAN"/>
      <definedName name="RescataDatos_CDRGL"/>
      <definedName name="RescataDatos_T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6760-F8F1-4732-8741-BD4187A64172}">
  <sheetPr codeName="Hoja8">
    <tabColor theme="0"/>
  </sheetPr>
  <dimension ref="B2:N45"/>
  <sheetViews>
    <sheetView showGridLines="0" tabSelected="1" zoomScale="85" zoomScaleNormal="85" workbookViewId="0"/>
  </sheetViews>
  <sheetFormatPr baseColWidth="10" defaultRowHeight="12.75" x14ac:dyDescent="0.2"/>
  <cols>
    <col min="2" max="2" width="3.42578125" customWidth="1"/>
    <col min="3" max="3" width="16.140625" customWidth="1"/>
    <col min="4" max="4" width="49.5703125" bestFit="1" customWidth="1"/>
    <col min="5" max="5" width="16.7109375" customWidth="1"/>
    <col min="6" max="6" width="12.85546875" customWidth="1"/>
    <col min="7" max="7" width="15.85546875" customWidth="1"/>
    <col min="8" max="8" width="13.140625" customWidth="1"/>
    <col min="9" max="9" width="9.5703125" bestFit="1" customWidth="1"/>
    <col min="10" max="10" width="13.5703125" bestFit="1" customWidth="1"/>
    <col min="11" max="11" width="17.85546875" customWidth="1"/>
    <col min="12" max="12" width="18.42578125" customWidth="1"/>
    <col min="13" max="13" width="13.140625" customWidth="1"/>
    <col min="14" max="14" width="11.42578125" customWidth="1"/>
    <col min="15" max="15" width="11.85546875" bestFit="1" customWidth="1"/>
    <col min="16" max="16" width="13.28515625" customWidth="1"/>
    <col min="17" max="17" width="11.5703125" customWidth="1"/>
    <col min="18" max="18" width="9.7109375" bestFit="1" customWidth="1"/>
    <col min="19" max="19" width="13.28515625" bestFit="1" customWidth="1"/>
  </cols>
  <sheetData>
    <row r="2" spans="2:14" x14ac:dyDescent="0.2">
      <c r="B2" s="1" t="s">
        <v>0</v>
      </c>
      <c r="D2" s="1"/>
      <c r="E2" s="2" t="s">
        <v>1</v>
      </c>
      <c r="F2" s="2"/>
      <c r="G2" s="3" t="s">
        <v>2</v>
      </c>
    </row>
    <row r="3" spans="2:14" x14ac:dyDescent="0.2">
      <c r="B3" s="4">
        <v>45597</v>
      </c>
      <c r="C3" s="4"/>
      <c r="D3" s="5"/>
    </row>
    <row r="4" spans="2:14" x14ac:dyDescent="0.2">
      <c r="B4" s="1"/>
    </row>
    <row r="6" spans="2:14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</row>
    <row r="7" spans="2:14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</row>
    <row r="8" spans="2:14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resumen_montos_facturados_TD_AR_CDpRGL_2411pre.xlsx</v>
      </c>
      <c r="E8" s="8" t="s">
        <v>14</v>
      </c>
      <c r="F8" s="10">
        <v>2326097</v>
      </c>
      <c r="G8" s="10">
        <v>2635414</v>
      </c>
      <c r="H8" s="10">
        <v>185452</v>
      </c>
      <c r="I8" s="10">
        <v>40408</v>
      </c>
      <c r="J8" s="10">
        <v>-8980286.0310871005</v>
      </c>
      <c r="K8" s="11"/>
      <c r="L8" s="11"/>
      <c r="M8" s="12"/>
      <c r="N8" s="12"/>
    </row>
    <row r="9" spans="2:14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resumen_montos_facturados_TD_AR_CDpRGL_2411pre.xlsx</v>
      </c>
      <c r="E9" s="8" t="s">
        <v>15</v>
      </c>
      <c r="F9" s="10">
        <v>831740</v>
      </c>
      <c r="G9" s="10">
        <v>3003747</v>
      </c>
      <c r="H9" s="10">
        <v>2532</v>
      </c>
      <c r="I9" s="10">
        <v>30414</v>
      </c>
      <c r="J9" s="10">
        <v>-32076418.02706572</v>
      </c>
      <c r="K9" s="11"/>
      <c r="L9" s="11"/>
      <c r="M9" s="12"/>
      <c r="N9" s="12"/>
    </row>
    <row r="10" spans="2:14" x14ac:dyDescent="0.2">
      <c r="B10" s="8">
        <v>3</v>
      </c>
      <c r="C10" s="8" t="s">
        <v>16</v>
      </c>
      <c r="D10" s="9" t="str">
        <f t="shared" si="0"/>
        <v>resumen_montos_facturados_TD_AR_CDpRGL_2411pre.xlsx</v>
      </c>
      <c r="E10" s="8" t="s">
        <v>16</v>
      </c>
      <c r="F10" s="10">
        <v>1805683.4</v>
      </c>
      <c r="G10" s="10">
        <v>5971293.3500100002</v>
      </c>
      <c r="H10" s="10">
        <v>0</v>
      </c>
      <c r="I10" s="10">
        <v>13086.6</v>
      </c>
      <c r="J10" s="10">
        <v>13275857.850828931</v>
      </c>
      <c r="K10" s="11"/>
      <c r="L10" s="11"/>
      <c r="M10" s="12"/>
      <c r="N10" s="12"/>
    </row>
    <row r="11" spans="2:14" x14ac:dyDescent="0.2">
      <c r="B11" s="8">
        <v>4</v>
      </c>
      <c r="C11" s="8" t="s">
        <v>17</v>
      </c>
      <c r="D11" s="9" t="str">
        <f t="shared" si="0"/>
        <v>resumen_montos_facturados_TD_AR_CDpRGL_2411pre.xlsx</v>
      </c>
      <c r="E11" s="8" t="s">
        <v>17</v>
      </c>
      <c r="F11" s="10">
        <v>435195</v>
      </c>
      <c r="G11" s="10">
        <v>1404719</v>
      </c>
      <c r="H11" s="10">
        <v>0</v>
      </c>
      <c r="I11" s="10">
        <v>0</v>
      </c>
      <c r="J11" s="10">
        <v>3233676.9972593389</v>
      </c>
      <c r="K11" s="11"/>
      <c r="L11" s="11"/>
      <c r="M11" s="12"/>
      <c r="N11" s="12"/>
    </row>
    <row r="12" spans="2:14" ht="12" customHeight="1" x14ac:dyDescent="0.2">
      <c r="B12" s="8">
        <v>5</v>
      </c>
      <c r="C12" s="8" t="s">
        <v>18</v>
      </c>
      <c r="D12" s="9" t="str">
        <f t="shared" si="0"/>
        <v>resumen_montos_facturados_TD_AR_CDpRGL_2411pre.xlsx</v>
      </c>
      <c r="E12" s="8" t="s">
        <v>18</v>
      </c>
      <c r="F12" s="10">
        <v>150295288.942</v>
      </c>
      <c r="G12" s="10">
        <v>443534739.91159087</v>
      </c>
      <c r="H12" s="10">
        <v>5446913.2929999996</v>
      </c>
      <c r="I12" s="10">
        <v>1602973.736</v>
      </c>
      <c r="J12" s="10">
        <v>-1292427990.2304521</v>
      </c>
      <c r="K12" s="11"/>
      <c r="L12" s="11"/>
      <c r="M12" s="12"/>
      <c r="N12" s="12"/>
    </row>
    <row r="13" spans="2:14" x14ac:dyDescent="0.2">
      <c r="B13" s="8">
        <v>6</v>
      </c>
      <c r="C13" s="8" t="s">
        <v>19</v>
      </c>
      <c r="D13" s="9" t="str">
        <f t="shared" si="0"/>
        <v>resumen_montos_facturados_TD_AR_CDpRGL_2411pre.xlsx</v>
      </c>
      <c r="E13" s="8" t="s">
        <v>20</v>
      </c>
      <c r="F13" s="10">
        <v>47106.500999999997</v>
      </c>
      <c r="G13" s="10">
        <v>905866.74800000002</v>
      </c>
      <c r="H13" s="10">
        <v>0</v>
      </c>
      <c r="I13" s="10">
        <v>0</v>
      </c>
      <c r="J13" s="10">
        <v>1625080.235129578</v>
      </c>
      <c r="K13" s="11"/>
      <c r="L13" s="11"/>
      <c r="M13" s="12"/>
      <c r="N13" s="12"/>
    </row>
    <row r="14" spans="2:14" x14ac:dyDescent="0.2">
      <c r="B14" s="8">
        <v>7</v>
      </c>
      <c r="C14" s="8" t="s">
        <v>21</v>
      </c>
      <c r="D14" s="9" t="str">
        <f t="shared" si="0"/>
        <v>resumen_montos_facturados_TD_AR_CDpRGL_2411pre.xlsx</v>
      </c>
      <c r="E14" s="8" t="s">
        <v>21</v>
      </c>
      <c r="F14" s="10">
        <v>11974026.299000001</v>
      </c>
      <c r="G14" s="10">
        <v>19645721.359000001</v>
      </c>
      <c r="H14" s="10">
        <v>272085.80099999998</v>
      </c>
      <c r="I14" s="10">
        <v>81469.142000000007</v>
      </c>
      <c r="J14" s="10">
        <v>-93095389.067753837</v>
      </c>
      <c r="K14" s="11"/>
      <c r="L14" s="11"/>
      <c r="M14" s="12"/>
      <c r="N14" s="12"/>
    </row>
    <row r="15" spans="2:14" x14ac:dyDescent="0.2">
      <c r="B15" s="8">
        <v>8</v>
      </c>
      <c r="C15" s="8" t="s">
        <v>22</v>
      </c>
      <c r="D15" s="9" t="str">
        <f t="shared" si="0"/>
        <v>resumen_montos_facturados_TD_AR_CDpRGL_2411pre.xlsx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4" x14ac:dyDescent="0.2">
      <c r="B16" s="8">
        <v>9</v>
      </c>
      <c r="C16" s="8" t="s">
        <v>23</v>
      </c>
      <c r="D16" s="9" t="str">
        <f t="shared" si="0"/>
        <v>resumen_montos_facturados_TD_AR_CDpRGL_2411pre.xlsx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resumen_montos_facturados_TD_AR_CDpRGL_2411pre.xlsx</v>
      </c>
      <c r="E17" s="8" t="s">
        <v>24</v>
      </c>
      <c r="F17" s="10">
        <v>99612592.738999993</v>
      </c>
      <c r="G17" s="10">
        <v>577285819.03400004</v>
      </c>
      <c r="H17" s="10">
        <v>535261</v>
      </c>
      <c r="I17" s="10">
        <v>1262498.5719999999</v>
      </c>
      <c r="J17" s="10">
        <v>1097561867.8565331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resumen_montos_facturados_TD_AR_CDpRGL_2411pre.xlsx</v>
      </c>
      <c r="E18" s="8" t="s">
        <v>25</v>
      </c>
      <c r="F18" s="10">
        <v>124916</v>
      </c>
      <c r="G18" s="10">
        <v>2350374.5529999998</v>
      </c>
      <c r="H18" s="10">
        <v>0</v>
      </c>
      <c r="I18" s="10">
        <v>17249</v>
      </c>
      <c r="J18" s="10">
        <v>3967677.3948933659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resumen_montos_facturados_TD_AR_CDpRGL_2411pre.xlsx</v>
      </c>
      <c r="E19" s="8" t="s">
        <v>26</v>
      </c>
      <c r="F19" s="10">
        <v>36115044.516000003</v>
      </c>
      <c r="G19" s="10">
        <v>67120981.821999997</v>
      </c>
      <c r="H19" s="10">
        <v>1245663.814</v>
      </c>
      <c r="I19" s="10">
        <v>157017.12599999999</v>
      </c>
      <c r="J19" s="10">
        <v>-328554590.0939337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resumen_montos_facturados_TD_AR_CDpRGL_2411pre.xlsx</v>
      </c>
      <c r="E20" s="8" t="s">
        <v>27</v>
      </c>
      <c r="F20" s="10">
        <v>3546002.7880000002</v>
      </c>
      <c r="G20" s="10">
        <v>17843777.791000001</v>
      </c>
      <c r="H20" s="10">
        <v>0</v>
      </c>
      <c r="I20" s="10">
        <v>23027.304</v>
      </c>
      <c r="J20" s="10">
        <v>-69341941.897305191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resumen_montos_facturados_TD_AR_CDpRGL_2411pre.xlsx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resumen_montos_facturados_TD_AR_CDpRGL_2411pre.xlsx</v>
      </c>
      <c r="E22" s="8" t="s">
        <v>29</v>
      </c>
      <c r="F22" s="10">
        <v>1340082</v>
      </c>
      <c r="G22" s="10">
        <v>7838468</v>
      </c>
      <c r="H22" s="10">
        <v>739</v>
      </c>
      <c r="I22" s="10">
        <v>19826</v>
      </c>
      <c r="J22" s="10">
        <v>-117755171.2047323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resumen_montos_facturados_TD_AR_CDpRGL_2411pre.xlsx</v>
      </c>
      <c r="E23" s="8" t="s">
        <v>30</v>
      </c>
      <c r="F23" s="10">
        <v>6403665</v>
      </c>
      <c r="G23" s="10">
        <v>12660966</v>
      </c>
      <c r="H23" s="10">
        <v>536317</v>
      </c>
      <c r="I23" s="10">
        <v>135868</v>
      </c>
      <c r="J23" s="10">
        <v>31161736.894906148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resumen_montos_facturados_TD_AR_CDpRGL_2411pre.xlsx</v>
      </c>
      <c r="E24" s="8" t="s">
        <v>31</v>
      </c>
      <c r="F24" s="10">
        <v>1672175</v>
      </c>
      <c r="G24" s="10">
        <v>13546908</v>
      </c>
      <c r="H24" s="10">
        <v>234</v>
      </c>
      <c r="I24" s="10">
        <v>85701</v>
      </c>
      <c r="J24" s="10">
        <v>24370342.98473933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resumen_montos_facturados_TD_AR_CDpRGL_2411pre.xlsx</v>
      </c>
      <c r="E25" s="8" t="s">
        <v>32</v>
      </c>
      <c r="F25" s="10">
        <v>415252</v>
      </c>
      <c r="G25" s="10">
        <v>2739791</v>
      </c>
      <c r="H25" s="10">
        <v>165044</v>
      </c>
      <c r="I25" s="10">
        <v>46882</v>
      </c>
      <c r="J25" s="10">
        <v>3431559.6467499519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resumen_montos_facturados_TD_AR_CDpRGL_2411pre.xlsx</v>
      </c>
      <c r="E26" s="8" t="s">
        <v>33</v>
      </c>
      <c r="F26" s="10">
        <v>1101853</v>
      </c>
      <c r="G26" s="10">
        <v>2017898</v>
      </c>
      <c r="H26" s="10">
        <v>110826</v>
      </c>
      <c r="I26" s="10">
        <v>8430</v>
      </c>
      <c r="J26" s="10">
        <v>5015977.6036299868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resumen_montos_facturados_TD_AR_CDpRGL_2411pre.xlsx</v>
      </c>
      <c r="E27" s="8" t="s">
        <v>34</v>
      </c>
      <c r="F27" s="10">
        <v>1776419</v>
      </c>
      <c r="G27" s="10">
        <v>5939205</v>
      </c>
      <c r="H27" s="10">
        <v>400445</v>
      </c>
      <c r="I27" s="10">
        <v>98438</v>
      </c>
      <c r="J27" s="10">
        <v>12123876.28920407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resumen_montos_facturados_TD_AR_CDpRGL_2411pre.xlsx</v>
      </c>
      <c r="E28" s="8" t="s">
        <v>35</v>
      </c>
      <c r="F28" s="10">
        <v>18146722.66</v>
      </c>
      <c r="G28" s="10">
        <v>65344272.25</v>
      </c>
      <c r="H28" s="10">
        <v>283367.23</v>
      </c>
      <c r="I28" s="10">
        <v>110007.8</v>
      </c>
      <c r="J28" s="10">
        <v>142011857.68886501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resumen_montos_facturados_TD_AR_CDpRGL_2411pre.xlsx</v>
      </c>
      <c r="E29" s="8" t="s">
        <v>36</v>
      </c>
      <c r="F29" s="10">
        <v>7623977.3300000001</v>
      </c>
      <c r="G29" s="10">
        <v>6686820.3399999999</v>
      </c>
      <c r="H29" s="10">
        <v>128632</v>
      </c>
      <c r="I29" s="10">
        <v>6261</v>
      </c>
      <c r="J29" s="10">
        <v>23221567.1981957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resumen_montos_facturados_TD_AR_CDpRGL_2411pre.xlsx</v>
      </c>
      <c r="E30" s="8" t="s">
        <v>37</v>
      </c>
      <c r="F30" s="10">
        <v>39086898.990000002</v>
      </c>
      <c r="G30" s="10">
        <v>116325295.42</v>
      </c>
      <c r="H30" s="10">
        <v>139457.94</v>
      </c>
      <c r="I30" s="10">
        <v>133164.53</v>
      </c>
      <c r="J30" s="10">
        <v>245850554.181824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resumen_montos_facturados_TD_AR_CDpRGL_2411pre.xlsx</v>
      </c>
      <c r="E31" s="8" t="s">
        <v>38</v>
      </c>
      <c r="F31" s="10">
        <v>1783537</v>
      </c>
      <c r="G31" s="10">
        <v>2968035</v>
      </c>
      <c r="H31" s="10">
        <v>51969</v>
      </c>
      <c r="I31" s="10">
        <v>12553</v>
      </c>
      <c r="J31" s="10">
        <v>7774298.8706560172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resumen_montos_facturados_TD_AR_CDpRGL_2411pre.xlsx</v>
      </c>
      <c r="E32" s="8" t="s">
        <v>39</v>
      </c>
      <c r="F32" s="10">
        <v>36273940.112099998</v>
      </c>
      <c r="G32" s="10">
        <v>128248876.10401</v>
      </c>
      <c r="H32" s="10">
        <v>2332269.7999999998</v>
      </c>
      <c r="I32" s="10">
        <v>716217</v>
      </c>
      <c r="J32" s="10">
        <v>280136384.03110921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resumen_montos_facturados_TD_AR_CDpRGL_2411pre.xlsx</v>
      </c>
      <c r="E33" s="8" t="s">
        <v>40</v>
      </c>
      <c r="F33" s="10">
        <v>1423339.4</v>
      </c>
      <c r="G33" s="10">
        <v>2691623.3</v>
      </c>
      <c r="H33" s="10">
        <v>50207</v>
      </c>
      <c r="I33" s="10">
        <v>95861</v>
      </c>
      <c r="J33" s="10">
        <v>6384290.3751863223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resumen_montos_facturados_TD_AR_CDpRGL_2411pre.xlsx</v>
      </c>
      <c r="E34" s="8" t="s">
        <v>41</v>
      </c>
      <c r="F34" s="10">
        <v>1276707</v>
      </c>
      <c r="G34" s="10">
        <v>8790443.6421000008</v>
      </c>
      <c r="H34" s="10">
        <v>6255</v>
      </c>
      <c r="I34" s="10">
        <v>42218</v>
      </c>
      <c r="J34" s="10">
        <v>16267277.828583149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resumen_montos_facturados_TD_AR_CDpRGL_2411pre.xlsx</v>
      </c>
      <c r="E35" s="8" t="s">
        <v>42</v>
      </c>
      <c r="F35" s="10">
        <v>4811501.0999999996</v>
      </c>
      <c r="G35" s="10">
        <v>5595383.0766000003</v>
      </c>
      <c r="H35" s="10">
        <v>350281.9</v>
      </c>
      <c r="I35" s="10">
        <v>32102.6001</v>
      </c>
      <c r="J35" s="10">
        <v>16711422.865665879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resumen_montos_facturados_TD_AR_CDpRGL_2411pre.xlsx</v>
      </c>
      <c r="E36" s="8" t="s">
        <v>43</v>
      </c>
      <c r="F36" s="10">
        <v>4149649.6000999999</v>
      </c>
      <c r="G36" s="10">
        <v>4140508.7782999999</v>
      </c>
      <c r="H36" s="10">
        <v>399746</v>
      </c>
      <c r="I36" s="10">
        <v>76905.2</v>
      </c>
      <c r="J36" s="10">
        <v>12764421.472878611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resumen_montos_facturados_TD_AR_CDpRGL_2411pre.xlsx</v>
      </c>
      <c r="E37" s="8" t="s">
        <v>45</v>
      </c>
      <c r="F37" s="10">
        <v>615895</v>
      </c>
      <c r="G37" s="10">
        <v>789659</v>
      </c>
      <c r="H37" s="10">
        <v>56693</v>
      </c>
      <c r="I37" s="10">
        <v>12236</v>
      </c>
      <c r="J37" s="10">
        <v>2302181.3670463068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resumen_montos_facturados_TD_AR_CDpRGL_2411pre.xlsx</v>
      </c>
      <c r="E38" s="8" t="s">
        <v>46</v>
      </c>
      <c r="F38" s="10">
        <v>4020505.8080000002</v>
      </c>
      <c r="G38" s="10">
        <v>17385830.765000001</v>
      </c>
      <c r="H38" s="10">
        <v>11442.5</v>
      </c>
      <c r="I38" s="10">
        <v>28832.008999999998</v>
      </c>
      <c r="J38" s="10">
        <v>35674008.078252949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resumen_montos_facturados_TD_AR_CDpRGL_2411pre.xlsx</v>
      </c>
      <c r="E39" s="8" t="s">
        <v>47</v>
      </c>
      <c r="F39" s="10">
        <v>5415989.6499999994</v>
      </c>
      <c r="G39" s="10">
        <v>26615885.381000001</v>
      </c>
      <c r="H39" s="10">
        <v>22564.501</v>
      </c>
      <c r="I39" s="10">
        <v>23740.393</v>
      </c>
      <c r="J39" s="10">
        <v>53489582.333229348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resumen_montos_facturados_TD_AR_CDpRGL_2411pre.xlsx</v>
      </c>
      <c r="E40" s="8" t="s">
        <v>48</v>
      </c>
      <c r="F40" s="10">
        <v>12467732.339</v>
      </c>
      <c r="G40" s="10">
        <v>48478175.480999999</v>
      </c>
      <c r="H40" s="10">
        <v>38307.54</v>
      </c>
      <c r="I40" s="10">
        <v>77095.680999999997</v>
      </c>
      <c r="J40" s="10">
        <v>100774335.2669661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resumen_montos_facturados_TD_AR_CDpRGL_2411pre.xlsx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resumen_montos_facturados_TD_AR_CDpRGL_2411pre.xlsx</v>
      </c>
      <c r="E42" s="8" t="s">
        <v>50</v>
      </c>
      <c r="F42" s="10">
        <v>0</v>
      </c>
      <c r="G42" s="10">
        <v>7376</v>
      </c>
      <c r="H42" s="10">
        <v>0</v>
      </c>
      <c r="I42" s="10">
        <v>0</v>
      </c>
      <c r="J42" s="10">
        <v>12915.44998128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resumen_montos_facturados_TD_AR_CDpRGL_2411pre.xlsx</v>
      </c>
      <c r="E43" s="8" t="s">
        <v>51</v>
      </c>
      <c r="F43" s="10">
        <v>30000.9</v>
      </c>
      <c r="G43" s="10">
        <v>49706.2</v>
      </c>
      <c r="H43" s="10">
        <v>0</v>
      </c>
      <c r="I43" s="10">
        <v>0</v>
      </c>
      <c r="J43" s="10">
        <v>135448.30084711089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456949536.07419991</v>
      </c>
      <c r="G44" s="16">
        <f>SUM(G8:G43)</f>
        <v>1620563581.3066113</v>
      </c>
      <c r="H44" s="16">
        <f>SUM(H8:H43)</f>
        <v>12772706.318999998</v>
      </c>
      <c r="I44" s="16">
        <f>SUM(I8:I43)</f>
        <v>4990482.6930999998</v>
      </c>
      <c r="J44" s="16">
        <f>SUM(J8:J43)</f>
        <v>197046412.5108307</v>
      </c>
      <c r="K44" s="11"/>
      <c r="L44" s="11"/>
      <c r="M44" s="12"/>
      <c r="N44" s="12"/>
    </row>
    <row r="45" spans="2:14" x14ac:dyDescent="0.2">
      <c r="L45" s="11"/>
      <c r="M45" s="12"/>
      <c r="N45" s="12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0D3F04FD-A3A8-4DD9-B49D-24B99E9F65D5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0365-2049-4773-BDFB-3BEBAC399C30}">
  <sheetPr codeName="Hoja5">
    <tabColor theme="0"/>
  </sheetPr>
  <dimension ref="B2:N45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6.5703125" customWidth="1"/>
    <col min="6" max="7" width="13.140625" customWidth="1"/>
    <col min="8" max="8" width="14.5703125" customWidth="1"/>
    <col min="9" max="9" width="9.5703125" bestFit="1" customWidth="1"/>
    <col min="10" max="10" width="14" customWidth="1"/>
  </cols>
  <sheetData>
    <row r="2" spans="2:14" x14ac:dyDescent="0.2">
      <c r="B2" s="1" t="s">
        <v>0</v>
      </c>
      <c r="D2" s="1"/>
      <c r="E2" s="2" t="s">
        <v>1</v>
      </c>
      <c r="F2" s="2"/>
      <c r="G2" s="3" t="s">
        <v>2</v>
      </c>
    </row>
    <row r="3" spans="2:14" x14ac:dyDescent="0.2">
      <c r="B3" s="4">
        <v>45597</v>
      </c>
      <c r="C3" s="4"/>
      <c r="D3" s="5"/>
    </row>
    <row r="4" spans="2:14" x14ac:dyDescent="0.2">
      <c r="B4" s="1"/>
    </row>
    <row r="6" spans="2:14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53</v>
      </c>
    </row>
    <row r="7" spans="2:14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M7" s="17"/>
      <c r="N7" s="17"/>
    </row>
    <row r="8" spans="2:14" x14ac:dyDescent="0.2">
      <c r="B8" s="8">
        <v>1</v>
      </c>
      <c r="C8" s="8" t="s">
        <v>14</v>
      </c>
      <c r="D8" s="9" t="s">
        <v>99</v>
      </c>
      <c r="E8" s="8" t="s">
        <v>14</v>
      </c>
      <c r="F8" s="10">
        <v>2326097</v>
      </c>
      <c r="G8" s="10">
        <v>2635414</v>
      </c>
      <c r="H8" s="10">
        <v>185452</v>
      </c>
      <c r="I8" s="10">
        <v>40408</v>
      </c>
      <c r="J8" s="10">
        <v>0</v>
      </c>
      <c r="K8" s="11"/>
      <c r="L8" s="12"/>
      <c r="M8" s="12"/>
    </row>
    <row r="9" spans="2:14" x14ac:dyDescent="0.2">
      <c r="B9" s="8">
        <v>2</v>
      </c>
      <c r="C9" s="8" t="s">
        <v>15</v>
      </c>
      <c r="D9" s="9" t="s">
        <v>99</v>
      </c>
      <c r="E9" s="8" t="s">
        <v>15</v>
      </c>
      <c r="F9" s="10">
        <v>831740</v>
      </c>
      <c r="G9" s="10">
        <v>3003747</v>
      </c>
      <c r="H9" s="10">
        <v>2532</v>
      </c>
      <c r="I9" s="10">
        <v>30414</v>
      </c>
      <c r="J9" s="10">
        <v>0</v>
      </c>
      <c r="K9" s="11"/>
      <c r="L9" s="12"/>
      <c r="M9" s="12"/>
    </row>
    <row r="10" spans="2:14" x14ac:dyDescent="0.2">
      <c r="B10" s="8">
        <v>3</v>
      </c>
      <c r="C10" s="8" t="s">
        <v>16</v>
      </c>
      <c r="D10" s="9" t="s">
        <v>99</v>
      </c>
      <c r="E10" s="8" t="s">
        <v>16</v>
      </c>
      <c r="F10" s="10">
        <v>1805683.4</v>
      </c>
      <c r="G10" s="10">
        <v>5971293.3500100002</v>
      </c>
      <c r="H10" s="10">
        <v>0</v>
      </c>
      <c r="I10" s="10">
        <v>13086.6</v>
      </c>
      <c r="J10" s="10">
        <v>0</v>
      </c>
      <c r="K10" s="11"/>
      <c r="L10" s="12"/>
      <c r="M10" s="12"/>
    </row>
    <row r="11" spans="2:14" x14ac:dyDescent="0.2">
      <c r="B11" s="8">
        <v>4</v>
      </c>
      <c r="C11" s="8" t="s">
        <v>17</v>
      </c>
      <c r="D11" s="9" t="s">
        <v>99</v>
      </c>
      <c r="E11" s="8" t="s">
        <v>17</v>
      </c>
      <c r="F11" s="10">
        <v>435195</v>
      </c>
      <c r="G11" s="10">
        <v>1404719</v>
      </c>
      <c r="H11" s="10">
        <v>0</v>
      </c>
      <c r="I11" s="10">
        <v>0</v>
      </c>
      <c r="J11" s="10">
        <v>0</v>
      </c>
      <c r="K11" s="11"/>
      <c r="L11" s="12"/>
      <c r="M11" s="12"/>
    </row>
    <row r="12" spans="2:14" x14ac:dyDescent="0.2">
      <c r="B12" s="8">
        <v>5</v>
      </c>
      <c r="C12" s="8" t="s">
        <v>18</v>
      </c>
      <c r="D12" s="9" t="s">
        <v>99</v>
      </c>
      <c r="E12" s="8" t="s">
        <v>18</v>
      </c>
      <c r="F12" s="10">
        <v>150295288.942</v>
      </c>
      <c r="G12" s="10">
        <v>443534739.91159087</v>
      </c>
      <c r="H12" s="10">
        <v>5446913.2929999996</v>
      </c>
      <c r="I12" s="10">
        <v>1602973.736</v>
      </c>
      <c r="J12" s="10">
        <v>-1609843.0253971571</v>
      </c>
      <c r="K12" s="11"/>
      <c r="L12" s="12"/>
      <c r="M12" s="12"/>
    </row>
    <row r="13" spans="2:14" x14ac:dyDescent="0.2">
      <c r="B13" s="8">
        <v>6</v>
      </c>
      <c r="C13" s="8" t="s">
        <v>19</v>
      </c>
      <c r="D13" s="9" t="s">
        <v>99</v>
      </c>
      <c r="E13" s="8" t="s">
        <v>20</v>
      </c>
      <c r="F13" s="10">
        <v>47106.500999999997</v>
      </c>
      <c r="G13" s="10">
        <v>905866.74800000002</v>
      </c>
      <c r="H13" s="10">
        <v>0</v>
      </c>
      <c r="I13" s="10">
        <v>0</v>
      </c>
      <c r="J13" s="10">
        <v>0</v>
      </c>
      <c r="K13" s="11"/>
      <c r="L13" s="12"/>
      <c r="M13" s="12"/>
    </row>
    <row r="14" spans="2:14" x14ac:dyDescent="0.2">
      <c r="B14" s="8">
        <v>7</v>
      </c>
      <c r="C14" s="8" t="s">
        <v>21</v>
      </c>
      <c r="D14" s="9" t="s">
        <v>99</v>
      </c>
      <c r="E14" s="8" t="s">
        <v>21</v>
      </c>
      <c r="F14" s="10">
        <v>11974026.299000001</v>
      </c>
      <c r="G14" s="10">
        <v>19645721.359000001</v>
      </c>
      <c r="H14" s="10">
        <v>272085.80099999998</v>
      </c>
      <c r="I14" s="10">
        <v>81469.142000000007</v>
      </c>
      <c r="J14" s="10">
        <v>55120.32769908481</v>
      </c>
      <c r="K14" s="11"/>
      <c r="L14" s="12"/>
      <c r="M14" s="12"/>
    </row>
    <row r="15" spans="2:14" x14ac:dyDescent="0.2">
      <c r="B15" s="8">
        <v>8</v>
      </c>
      <c r="C15" s="8" t="s">
        <v>22</v>
      </c>
      <c r="D15" s="9" t="s">
        <v>99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2"/>
      <c r="M15" s="12"/>
    </row>
    <row r="16" spans="2:14" x14ac:dyDescent="0.2">
      <c r="B16" s="8">
        <v>9</v>
      </c>
      <c r="C16" s="8" t="s">
        <v>23</v>
      </c>
      <c r="D16" s="9" t="s">
        <v>99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2"/>
      <c r="M16" s="12"/>
    </row>
    <row r="17" spans="2:13" x14ac:dyDescent="0.2">
      <c r="B17" s="8">
        <v>10</v>
      </c>
      <c r="C17" s="8" t="s">
        <v>24</v>
      </c>
      <c r="D17" s="9" t="s">
        <v>99</v>
      </c>
      <c r="E17" s="8" t="s">
        <v>24</v>
      </c>
      <c r="F17" s="10">
        <v>99612592.738999993</v>
      </c>
      <c r="G17" s="10">
        <v>577285819.03400004</v>
      </c>
      <c r="H17" s="10">
        <v>535261</v>
      </c>
      <c r="I17" s="10">
        <v>1262498.5719999999</v>
      </c>
      <c r="J17" s="10">
        <v>1432983.8746457689</v>
      </c>
      <c r="K17" s="11"/>
      <c r="L17" s="12"/>
      <c r="M17" s="12"/>
    </row>
    <row r="18" spans="2:13" x14ac:dyDescent="0.2">
      <c r="B18" s="8">
        <v>11</v>
      </c>
      <c r="C18" s="8" t="s">
        <v>25</v>
      </c>
      <c r="D18" s="9" t="s">
        <v>99</v>
      </c>
      <c r="E18" s="8" t="s">
        <v>25</v>
      </c>
      <c r="F18" s="10">
        <v>124916</v>
      </c>
      <c r="G18" s="10">
        <v>2350374.5529999998</v>
      </c>
      <c r="H18" s="10">
        <v>0</v>
      </c>
      <c r="I18" s="10">
        <v>17249</v>
      </c>
      <c r="J18" s="10">
        <v>0</v>
      </c>
      <c r="K18" s="11"/>
      <c r="L18" s="12"/>
      <c r="M18" s="12"/>
    </row>
    <row r="19" spans="2:13" x14ac:dyDescent="0.2">
      <c r="B19" s="8">
        <v>12</v>
      </c>
      <c r="C19" s="8" t="s">
        <v>26</v>
      </c>
      <c r="D19" s="9" t="s">
        <v>99</v>
      </c>
      <c r="E19" s="8" t="s">
        <v>26</v>
      </c>
      <c r="F19" s="10">
        <v>36115044.516000003</v>
      </c>
      <c r="G19" s="10">
        <v>67120981.821999997</v>
      </c>
      <c r="H19" s="10">
        <v>1245663.814</v>
      </c>
      <c r="I19" s="10">
        <v>157017.12599999999</v>
      </c>
      <c r="J19" s="10">
        <v>-111905.15658653781</v>
      </c>
      <c r="K19" s="11"/>
      <c r="L19" s="12"/>
      <c r="M19" s="12"/>
    </row>
    <row r="20" spans="2:13" x14ac:dyDescent="0.2">
      <c r="B20" s="8">
        <v>13</v>
      </c>
      <c r="C20" s="8" t="s">
        <v>27</v>
      </c>
      <c r="D20" s="9" t="s">
        <v>99</v>
      </c>
      <c r="E20" s="8" t="s">
        <v>27</v>
      </c>
      <c r="F20" s="10">
        <v>3546002.7880000002</v>
      </c>
      <c r="G20" s="10">
        <v>17843777.791000001</v>
      </c>
      <c r="H20" s="10">
        <v>0</v>
      </c>
      <c r="I20" s="10">
        <v>23027.304</v>
      </c>
      <c r="J20" s="10">
        <v>19647.009524499881</v>
      </c>
      <c r="K20" s="11"/>
      <c r="L20" s="12"/>
      <c r="M20" s="12"/>
    </row>
    <row r="21" spans="2:13" x14ac:dyDescent="0.2">
      <c r="B21" s="8">
        <v>14</v>
      </c>
      <c r="C21" s="8" t="s">
        <v>28</v>
      </c>
      <c r="D21" s="9" t="s">
        <v>99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2"/>
      <c r="M21" s="12"/>
    </row>
    <row r="22" spans="2:13" x14ac:dyDescent="0.2">
      <c r="B22" s="8">
        <v>15</v>
      </c>
      <c r="C22" s="8" t="s">
        <v>29</v>
      </c>
      <c r="D22" s="9" t="s">
        <v>99</v>
      </c>
      <c r="E22" s="8" t="s">
        <v>29</v>
      </c>
      <c r="F22" s="10">
        <v>1340082</v>
      </c>
      <c r="G22" s="10">
        <v>7838468</v>
      </c>
      <c r="H22" s="10">
        <v>739</v>
      </c>
      <c r="I22" s="10">
        <v>19826</v>
      </c>
      <c r="J22" s="10">
        <v>0</v>
      </c>
      <c r="K22" s="11"/>
      <c r="L22" s="12"/>
      <c r="M22" s="12"/>
    </row>
    <row r="23" spans="2:13" x14ac:dyDescent="0.2">
      <c r="B23" s="8">
        <v>16</v>
      </c>
      <c r="C23" s="8" t="s">
        <v>30</v>
      </c>
      <c r="D23" s="9" t="s">
        <v>99</v>
      </c>
      <c r="E23" s="8" t="s">
        <v>30</v>
      </c>
      <c r="F23" s="10">
        <v>6403665</v>
      </c>
      <c r="G23" s="10">
        <v>12660966</v>
      </c>
      <c r="H23" s="10">
        <v>536317</v>
      </c>
      <c r="I23" s="10">
        <v>135868</v>
      </c>
      <c r="J23" s="10">
        <v>0</v>
      </c>
      <c r="K23" s="11"/>
      <c r="L23" s="12"/>
      <c r="M23" s="12"/>
    </row>
    <row r="24" spans="2:13" x14ac:dyDescent="0.2">
      <c r="B24" s="8">
        <v>17</v>
      </c>
      <c r="C24" s="8" t="s">
        <v>31</v>
      </c>
      <c r="D24" s="9" t="s">
        <v>99</v>
      </c>
      <c r="E24" s="8" t="s">
        <v>31</v>
      </c>
      <c r="F24" s="10">
        <v>1672175</v>
      </c>
      <c r="G24" s="10">
        <v>13546908</v>
      </c>
      <c r="H24" s="10">
        <v>234</v>
      </c>
      <c r="I24" s="10">
        <v>85701</v>
      </c>
      <c r="J24" s="10">
        <v>0</v>
      </c>
      <c r="K24" s="11"/>
      <c r="L24" s="12"/>
      <c r="M24" s="12"/>
    </row>
    <row r="25" spans="2:13" x14ac:dyDescent="0.2">
      <c r="B25" s="8">
        <v>18</v>
      </c>
      <c r="C25" s="8" t="s">
        <v>32</v>
      </c>
      <c r="D25" s="9" t="s">
        <v>99</v>
      </c>
      <c r="E25" s="8" t="s">
        <v>32</v>
      </c>
      <c r="F25" s="10">
        <v>415252</v>
      </c>
      <c r="G25" s="10">
        <v>2739791</v>
      </c>
      <c r="H25" s="10">
        <v>165044</v>
      </c>
      <c r="I25" s="10">
        <v>46882</v>
      </c>
      <c r="J25" s="10">
        <v>0</v>
      </c>
      <c r="K25" s="11"/>
      <c r="L25" s="12"/>
      <c r="M25" s="12"/>
    </row>
    <row r="26" spans="2:13" x14ac:dyDescent="0.2">
      <c r="B26" s="8">
        <v>19</v>
      </c>
      <c r="C26" s="8" t="s">
        <v>33</v>
      </c>
      <c r="D26" s="9" t="s">
        <v>99</v>
      </c>
      <c r="E26" s="8" t="s">
        <v>33</v>
      </c>
      <c r="F26" s="10">
        <v>1101853</v>
      </c>
      <c r="G26" s="10">
        <v>2017898</v>
      </c>
      <c r="H26" s="10">
        <v>110826</v>
      </c>
      <c r="I26" s="10">
        <v>8430</v>
      </c>
      <c r="J26" s="10">
        <v>0</v>
      </c>
      <c r="K26" s="11"/>
      <c r="L26" s="12"/>
      <c r="M26" s="12"/>
    </row>
    <row r="27" spans="2:13" x14ac:dyDescent="0.2">
      <c r="B27" s="8">
        <v>20</v>
      </c>
      <c r="C27" s="8" t="s">
        <v>34</v>
      </c>
      <c r="D27" s="9" t="s">
        <v>99</v>
      </c>
      <c r="E27" s="8" t="s">
        <v>34</v>
      </c>
      <c r="F27" s="10">
        <v>1776419</v>
      </c>
      <c r="G27" s="10">
        <v>5939205</v>
      </c>
      <c r="H27" s="10">
        <v>400445</v>
      </c>
      <c r="I27" s="10">
        <v>98438</v>
      </c>
      <c r="J27" s="10">
        <v>0</v>
      </c>
      <c r="K27" s="11"/>
      <c r="L27" s="12"/>
      <c r="M27" s="12"/>
    </row>
    <row r="28" spans="2:13" x14ac:dyDescent="0.2">
      <c r="B28" s="8">
        <v>21</v>
      </c>
      <c r="C28" s="8" t="s">
        <v>35</v>
      </c>
      <c r="D28" s="9" t="s">
        <v>99</v>
      </c>
      <c r="E28" s="8" t="s">
        <v>35</v>
      </c>
      <c r="F28" s="10">
        <v>18146722.66</v>
      </c>
      <c r="G28" s="10">
        <v>65344272.25</v>
      </c>
      <c r="H28" s="10">
        <v>283367.23</v>
      </c>
      <c r="I28" s="10">
        <v>110007.8</v>
      </c>
      <c r="J28" s="10">
        <v>0</v>
      </c>
      <c r="K28" s="11"/>
      <c r="L28" s="12"/>
      <c r="M28" s="12"/>
    </row>
    <row r="29" spans="2:13" x14ac:dyDescent="0.2">
      <c r="B29" s="8">
        <v>22</v>
      </c>
      <c r="C29" s="8" t="s">
        <v>36</v>
      </c>
      <c r="D29" s="9" t="s">
        <v>99</v>
      </c>
      <c r="E29" s="8" t="s">
        <v>36</v>
      </c>
      <c r="F29" s="10">
        <v>7623977.3300000001</v>
      </c>
      <c r="G29" s="10">
        <v>6686820.3399999999</v>
      </c>
      <c r="H29" s="10">
        <v>128632</v>
      </c>
      <c r="I29" s="10">
        <v>6261</v>
      </c>
      <c r="J29" s="10">
        <v>-1545.0466544460439</v>
      </c>
      <c r="K29" s="11"/>
      <c r="L29" s="12"/>
      <c r="M29" s="12"/>
    </row>
    <row r="30" spans="2:13" x14ac:dyDescent="0.2">
      <c r="B30" s="8">
        <v>23</v>
      </c>
      <c r="C30" s="8" t="s">
        <v>37</v>
      </c>
      <c r="D30" s="9" t="s">
        <v>99</v>
      </c>
      <c r="E30" s="8" t="s">
        <v>37</v>
      </c>
      <c r="F30" s="10">
        <v>39086898.990000002</v>
      </c>
      <c r="G30" s="10">
        <v>116325295.42</v>
      </c>
      <c r="H30" s="10">
        <v>139457.94</v>
      </c>
      <c r="I30" s="10">
        <v>133164.53</v>
      </c>
      <c r="J30" s="10">
        <v>0</v>
      </c>
      <c r="K30" s="11"/>
      <c r="L30" s="12"/>
      <c r="M30" s="12"/>
    </row>
    <row r="31" spans="2:13" x14ac:dyDescent="0.2">
      <c r="B31" s="8">
        <v>24</v>
      </c>
      <c r="C31" s="8" t="s">
        <v>38</v>
      </c>
      <c r="D31" s="9" t="s">
        <v>99</v>
      </c>
      <c r="E31" s="8" t="s">
        <v>38</v>
      </c>
      <c r="F31" s="10">
        <v>1783537</v>
      </c>
      <c r="G31" s="10">
        <v>2968035</v>
      </c>
      <c r="H31" s="10">
        <v>51969</v>
      </c>
      <c r="I31" s="10">
        <v>12553</v>
      </c>
      <c r="J31" s="10">
        <v>0</v>
      </c>
      <c r="K31" s="11"/>
      <c r="L31" s="12"/>
      <c r="M31" s="12"/>
    </row>
    <row r="32" spans="2:13" x14ac:dyDescent="0.2">
      <c r="B32" s="8">
        <v>25</v>
      </c>
      <c r="C32" s="8" t="s">
        <v>39</v>
      </c>
      <c r="D32" s="9" t="s">
        <v>99</v>
      </c>
      <c r="E32" s="8" t="s">
        <v>39</v>
      </c>
      <c r="F32" s="10">
        <v>36273940.112099998</v>
      </c>
      <c r="G32" s="10">
        <v>128248876.10401</v>
      </c>
      <c r="H32" s="10">
        <v>2332269.7999999998</v>
      </c>
      <c r="I32" s="10">
        <v>716217</v>
      </c>
      <c r="J32" s="10">
        <v>70847.165606387978</v>
      </c>
      <c r="K32" s="11"/>
      <c r="L32" s="12"/>
      <c r="M32" s="12"/>
    </row>
    <row r="33" spans="2:13" x14ac:dyDescent="0.2">
      <c r="B33" s="8">
        <v>26</v>
      </c>
      <c r="C33" s="8" t="s">
        <v>40</v>
      </c>
      <c r="D33" s="9" t="s">
        <v>99</v>
      </c>
      <c r="E33" s="8" t="s">
        <v>40</v>
      </c>
      <c r="F33" s="10">
        <v>1423339.4</v>
      </c>
      <c r="G33" s="10">
        <v>2691623.3</v>
      </c>
      <c r="H33" s="10">
        <v>50207</v>
      </c>
      <c r="I33" s="10">
        <v>95861</v>
      </c>
      <c r="J33" s="10">
        <v>935.0911379859358</v>
      </c>
      <c r="K33" s="11"/>
      <c r="L33" s="12"/>
      <c r="M33" s="12"/>
    </row>
    <row r="34" spans="2:13" x14ac:dyDescent="0.2">
      <c r="B34" s="8">
        <v>27</v>
      </c>
      <c r="C34" s="8" t="s">
        <v>41</v>
      </c>
      <c r="D34" s="9" t="s">
        <v>99</v>
      </c>
      <c r="E34" s="8" t="s">
        <v>41</v>
      </c>
      <c r="F34" s="10">
        <v>1276707</v>
      </c>
      <c r="G34" s="10">
        <v>8790443.6421000008</v>
      </c>
      <c r="H34" s="10">
        <v>6255</v>
      </c>
      <c r="I34" s="10">
        <v>42218</v>
      </c>
      <c r="J34" s="10">
        <v>3324.115559525374</v>
      </c>
      <c r="K34" s="11"/>
      <c r="L34" s="12"/>
      <c r="M34" s="12"/>
    </row>
    <row r="35" spans="2:13" x14ac:dyDescent="0.2">
      <c r="B35" s="8">
        <v>28</v>
      </c>
      <c r="C35" s="8" t="s">
        <v>42</v>
      </c>
      <c r="D35" s="9" t="s">
        <v>99</v>
      </c>
      <c r="E35" s="8" t="s">
        <v>42</v>
      </c>
      <c r="F35" s="10">
        <v>4811501.0999999996</v>
      </c>
      <c r="G35" s="10">
        <v>5595383.0766000003</v>
      </c>
      <c r="H35" s="10">
        <v>350281.9</v>
      </c>
      <c r="I35" s="10">
        <v>32102.6001</v>
      </c>
      <c r="J35" s="10">
        <v>685.91867343727404</v>
      </c>
      <c r="K35" s="11"/>
      <c r="L35" s="12"/>
      <c r="M35" s="12"/>
    </row>
    <row r="36" spans="2:13" x14ac:dyDescent="0.2">
      <c r="B36" s="8">
        <v>29</v>
      </c>
      <c r="C36" s="8" t="s">
        <v>43</v>
      </c>
      <c r="D36" s="9" t="s">
        <v>99</v>
      </c>
      <c r="E36" s="8" t="s">
        <v>43</v>
      </c>
      <c r="F36" s="10">
        <v>4149649.6000999999</v>
      </c>
      <c r="G36" s="10">
        <v>4140508.7782999999</v>
      </c>
      <c r="H36" s="10">
        <v>399746</v>
      </c>
      <c r="I36" s="10">
        <v>76905.2</v>
      </c>
      <c r="J36" s="10">
        <v>7484.045333892198</v>
      </c>
      <c r="K36" s="11"/>
      <c r="L36" s="12"/>
      <c r="M36" s="12"/>
    </row>
    <row r="37" spans="2:13" x14ac:dyDescent="0.2">
      <c r="B37" s="8">
        <v>30</v>
      </c>
      <c r="C37" s="8" t="s">
        <v>44</v>
      </c>
      <c r="D37" s="9" t="s">
        <v>99</v>
      </c>
      <c r="E37" s="8" t="s">
        <v>45</v>
      </c>
      <c r="F37" s="10">
        <v>615895</v>
      </c>
      <c r="G37" s="10">
        <v>789659</v>
      </c>
      <c r="H37" s="10">
        <v>56693</v>
      </c>
      <c r="I37" s="10">
        <v>12236</v>
      </c>
      <c r="J37" s="10">
        <v>0</v>
      </c>
      <c r="K37" s="11"/>
      <c r="L37" s="12"/>
      <c r="M37" s="12"/>
    </row>
    <row r="38" spans="2:13" x14ac:dyDescent="0.2">
      <c r="B38" s="8">
        <v>31</v>
      </c>
      <c r="C38" s="8" t="s">
        <v>46</v>
      </c>
      <c r="D38" s="9" t="s">
        <v>99</v>
      </c>
      <c r="E38" s="8" t="s">
        <v>46</v>
      </c>
      <c r="F38" s="10">
        <v>4020505.8080000002</v>
      </c>
      <c r="G38" s="10">
        <v>17385830.765000001</v>
      </c>
      <c r="H38" s="10">
        <v>11442.5</v>
      </c>
      <c r="I38" s="10">
        <v>28832.008999999998</v>
      </c>
      <c r="J38" s="10">
        <v>-680869.99282484304</v>
      </c>
      <c r="K38" s="11"/>
      <c r="L38" s="12"/>
      <c r="M38" s="12"/>
    </row>
    <row r="39" spans="2:13" x14ac:dyDescent="0.2">
      <c r="B39" s="8">
        <v>32</v>
      </c>
      <c r="C39" s="8" t="s">
        <v>47</v>
      </c>
      <c r="D39" s="9" t="s">
        <v>99</v>
      </c>
      <c r="E39" s="8" t="s">
        <v>47</v>
      </c>
      <c r="F39" s="10">
        <v>5415989.6499999994</v>
      </c>
      <c r="G39" s="10">
        <v>26615885.381000001</v>
      </c>
      <c r="H39" s="10">
        <v>22564.501</v>
      </c>
      <c r="I39" s="10">
        <v>23740.393</v>
      </c>
      <c r="J39" s="10">
        <v>12980.19050906669</v>
      </c>
      <c r="K39" s="11"/>
      <c r="L39" s="12"/>
      <c r="M39" s="12"/>
    </row>
    <row r="40" spans="2:13" x14ac:dyDescent="0.2">
      <c r="B40" s="8">
        <v>33</v>
      </c>
      <c r="C40" s="8" t="s">
        <v>48</v>
      </c>
      <c r="D40" s="9" t="s">
        <v>99</v>
      </c>
      <c r="E40" s="8" t="s">
        <v>48</v>
      </c>
      <c r="F40" s="10">
        <v>12467732.339</v>
      </c>
      <c r="G40" s="10">
        <v>48478175.480999999</v>
      </c>
      <c r="H40" s="10">
        <v>38307.54</v>
      </c>
      <c r="I40" s="10">
        <v>77095.680999999997</v>
      </c>
      <c r="J40" s="10">
        <v>-27139.958168405879</v>
      </c>
      <c r="K40" s="11"/>
      <c r="L40" s="12"/>
      <c r="M40" s="12"/>
    </row>
    <row r="41" spans="2:13" x14ac:dyDescent="0.2">
      <c r="B41" s="8">
        <v>34</v>
      </c>
      <c r="C41" s="8" t="s">
        <v>49</v>
      </c>
      <c r="D41" s="9" t="s">
        <v>99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2"/>
      <c r="M41" s="12"/>
    </row>
    <row r="42" spans="2:13" x14ac:dyDescent="0.2">
      <c r="B42" s="8">
        <v>35</v>
      </c>
      <c r="C42" s="8" t="s">
        <v>50</v>
      </c>
      <c r="D42" s="9" t="s">
        <v>99</v>
      </c>
      <c r="E42" s="8" t="s">
        <v>50</v>
      </c>
      <c r="F42" s="10">
        <v>0</v>
      </c>
      <c r="G42" s="10">
        <v>7376</v>
      </c>
      <c r="H42" s="10">
        <v>0</v>
      </c>
      <c r="I42" s="10">
        <v>0</v>
      </c>
      <c r="J42" s="10">
        <v>0</v>
      </c>
      <c r="K42" s="11"/>
      <c r="L42" s="12"/>
      <c r="M42" s="12"/>
    </row>
    <row r="43" spans="2:13" x14ac:dyDescent="0.2">
      <c r="B43" s="8">
        <v>36</v>
      </c>
      <c r="C43" s="8" t="s">
        <v>51</v>
      </c>
      <c r="D43" s="9" t="s">
        <v>99</v>
      </c>
      <c r="E43" s="8" t="s">
        <v>51</v>
      </c>
      <c r="F43" s="10">
        <v>30000.9</v>
      </c>
      <c r="G43" s="10">
        <v>49706.2</v>
      </c>
      <c r="H43" s="10">
        <v>0</v>
      </c>
      <c r="I43" s="10">
        <v>0</v>
      </c>
      <c r="J43" s="10">
        <v>0</v>
      </c>
      <c r="K43" s="11"/>
      <c r="L43" s="12"/>
      <c r="M43" s="12"/>
    </row>
    <row r="44" spans="2:13" x14ac:dyDescent="0.2">
      <c r="B44" s="13" t="s">
        <v>52</v>
      </c>
      <c r="C44" s="14"/>
      <c r="D44" s="14"/>
      <c r="E44" s="15"/>
      <c r="F44" s="16">
        <v>456949536.07419991</v>
      </c>
      <c r="G44" s="16">
        <v>1620563581.3066113</v>
      </c>
      <c r="H44" s="16">
        <v>12772706.318999998</v>
      </c>
      <c r="I44" s="16">
        <v>4990482.6930999998</v>
      </c>
      <c r="J44" s="16">
        <v>-827295.44094174088</v>
      </c>
      <c r="K44" s="11"/>
      <c r="L44" s="12"/>
      <c r="M44" s="12"/>
    </row>
    <row r="45" spans="2:13" x14ac:dyDescent="0.2">
      <c r="F45" s="18"/>
      <c r="G45" s="18"/>
      <c r="H45" s="18"/>
      <c r="I45" s="18"/>
      <c r="J45" s="18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60AD-5BEB-4A16-9997-3E90525744DF}">
  <sheetPr codeName="Hoja11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5" customWidth="1"/>
    <col min="9" max="9" width="9.5703125" bestFit="1" customWidth="1"/>
    <col min="10" max="10" width="13.42578125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2" t="s">
        <v>1</v>
      </c>
      <c r="F2" s="2"/>
      <c r="G2" s="3" t="str">
        <f>'Entrada AR'!$G$2</f>
        <v>pre</v>
      </c>
    </row>
    <row r="3" spans="2:15" x14ac:dyDescent="0.2">
      <c r="B3" s="4">
        <f>'Entrada AR'!FechaFacturacion</f>
        <v>45597</v>
      </c>
      <c r="C3" s="4"/>
      <c r="D3" s="5"/>
    </row>
    <row r="4" spans="2:15" x14ac:dyDescent="0.2">
      <c r="B4" s="1"/>
    </row>
    <row r="6" spans="2:15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54</v>
      </c>
      <c r="N6" s="12"/>
    </row>
    <row r="7" spans="2:15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N7" s="12"/>
      <c r="O7" s="17"/>
    </row>
    <row r="8" spans="2:15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resumen_montos_facturados_TD_AR_CDpRGL_2411pre.xlsx</v>
      </c>
      <c r="E8" s="8" t="s">
        <v>14</v>
      </c>
      <c r="F8" s="10">
        <v>2326097</v>
      </c>
      <c r="G8" s="10">
        <v>2635414</v>
      </c>
      <c r="H8" s="10">
        <v>185452</v>
      </c>
      <c r="I8" s="10">
        <v>40408</v>
      </c>
      <c r="J8" s="10">
        <v>-658681.5432889252</v>
      </c>
      <c r="K8" s="11"/>
      <c r="L8" s="11"/>
      <c r="M8" s="12"/>
      <c r="N8" s="12"/>
    </row>
    <row r="9" spans="2:15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resumen_montos_facturados_TD_AR_CDpRGL_2411pre.xlsx</v>
      </c>
      <c r="E9" s="8" t="s">
        <v>15</v>
      </c>
      <c r="F9" s="10">
        <v>831740</v>
      </c>
      <c r="G9" s="10">
        <v>3003747</v>
      </c>
      <c r="H9" s="10">
        <v>2532</v>
      </c>
      <c r="I9" s="10">
        <v>30414</v>
      </c>
      <c r="J9" s="10">
        <v>-18902001.426394239</v>
      </c>
      <c r="K9" s="11"/>
      <c r="L9" s="11"/>
      <c r="M9" s="12"/>
      <c r="N9" s="12"/>
    </row>
    <row r="10" spans="2:15" x14ac:dyDescent="0.2">
      <c r="B10" s="8">
        <v>3</v>
      </c>
      <c r="C10" s="8" t="s">
        <v>16</v>
      </c>
      <c r="D10" s="9" t="str">
        <f t="shared" si="0"/>
        <v>resumen_montos_facturados_TD_AR_CDpRGL_2411pre.xlsx</v>
      </c>
      <c r="E10" s="8" t="s">
        <v>16</v>
      </c>
      <c r="F10" s="10">
        <v>1805683.4</v>
      </c>
      <c r="G10" s="10">
        <v>5971293.3500100002</v>
      </c>
      <c r="H10" s="10">
        <v>0</v>
      </c>
      <c r="I10" s="10">
        <v>13086.6</v>
      </c>
      <c r="J10" s="10">
        <v>13537319.98088254</v>
      </c>
      <c r="K10" s="11"/>
      <c r="L10" s="11"/>
      <c r="M10" s="12"/>
      <c r="N10" s="12"/>
    </row>
    <row r="11" spans="2:15" x14ac:dyDescent="0.2">
      <c r="B11" s="8">
        <v>4</v>
      </c>
      <c r="C11" s="8" t="s">
        <v>17</v>
      </c>
      <c r="D11" s="9" t="str">
        <f t="shared" si="0"/>
        <v>resumen_montos_facturados_TD_AR_CDpRGL_2411pre.xlsx</v>
      </c>
      <c r="E11" s="8" t="s">
        <v>17</v>
      </c>
      <c r="F11" s="10">
        <v>435195</v>
      </c>
      <c r="G11" s="10">
        <v>1404719</v>
      </c>
      <c r="H11" s="10">
        <v>0</v>
      </c>
      <c r="I11" s="10">
        <v>0</v>
      </c>
      <c r="J11" s="10">
        <v>3490657.950683922</v>
      </c>
      <c r="K11" s="11"/>
      <c r="L11" s="11"/>
      <c r="M11" s="12"/>
      <c r="N11" s="12"/>
    </row>
    <row r="12" spans="2:15" x14ac:dyDescent="0.2">
      <c r="B12" s="8">
        <v>5</v>
      </c>
      <c r="C12" s="8" t="s">
        <v>18</v>
      </c>
      <c r="D12" s="9" t="str">
        <f t="shared" si="0"/>
        <v>resumen_montos_facturados_TD_AR_CDpRGL_2411pre.xlsx</v>
      </c>
      <c r="E12" s="8" t="s">
        <v>18</v>
      </c>
      <c r="F12" s="10">
        <v>150295288.942</v>
      </c>
      <c r="G12" s="10">
        <v>443534739.91159087</v>
      </c>
      <c r="H12" s="10">
        <v>5446913.2929999996</v>
      </c>
      <c r="I12" s="10">
        <v>1602973.736</v>
      </c>
      <c r="J12" s="10">
        <v>168366882.59179991</v>
      </c>
      <c r="K12" s="11"/>
      <c r="L12" s="11"/>
      <c r="M12" s="12"/>
      <c r="N12" s="12"/>
    </row>
    <row r="13" spans="2:15" x14ac:dyDescent="0.2">
      <c r="B13" s="8">
        <v>6</v>
      </c>
      <c r="C13" s="8" t="s">
        <v>19</v>
      </c>
      <c r="D13" s="9" t="str">
        <f t="shared" si="0"/>
        <v>resumen_montos_facturados_TD_AR_CDpRGL_2411pre.xlsx</v>
      </c>
      <c r="E13" s="8" t="s">
        <v>20</v>
      </c>
      <c r="F13" s="10">
        <v>47106.500999999997</v>
      </c>
      <c r="G13" s="10">
        <v>905866.74800000002</v>
      </c>
      <c r="H13" s="10">
        <v>0</v>
      </c>
      <c r="I13" s="10">
        <v>0</v>
      </c>
      <c r="J13" s="10">
        <v>-16479739.738401661</v>
      </c>
      <c r="K13" s="11"/>
      <c r="L13" s="11"/>
      <c r="M13" s="12"/>
      <c r="N13" s="12"/>
    </row>
    <row r="14" spans="2:15" x14ac:dyDescent="0.2">
      <c r="B14" s="8">
        <v>7</v>
      </c>
      <c r="C14" s="8" t="s">
        <v>21</v>
      </c>
      <c r="D14" s="9" t="str">
        <f t="shared" si="0"/>
        <v>resumen_montos_facturados_TD_AR_CDpRGL_2411pre.xlsx</v>
      </c>
      <c r="E14" s="8" t="s">
        <v>21</v>
      </c>
      <c r="F14" s="10">
        <v>11974026.299000001</v>
      </c>
      <c r="G14" s="10">
        <v>19645721.359000001</v>
      </c>
      <c r="H14" s="10">
        <v>272085.80099999998</v>
      </c>
      <c r="I14" s="10">
        <v>81469.142000000007</v>
      </c>
      <c r="J14" s="10">
        <v>-188750421.81781611</v>
      </c>
      <c r="K14" s="11"/>
      <c r="L14" s="11"/>
      <c r="M14" s="12"/>
      <c r="N14" s="12"/>
    </row>
    <row r="15" spans="2:15" x14ac:dyDescent="0.2">
      <c r="B15" s="8">
        <v>8</v>
      </c>
      <c r="C15" s="8" t="s">
        <v>22</v>
      </c>
      <c r="D15" s="9" t="str">
        <f t="shared" si="0"/>
        <v>resumen_montos_facturados_TD_AR_CDpRGL_2411pre.xlsx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5" x14ac:dyDescent="0.2">
      <c r="B16" s="8">
        <v>9</v>
      </c>
      <c r="C16" s="8" t="s">
        <v>23</v>
      </c>
      <c r="D16" s="9" t="str">
        <f t="shared" si="0"/>
        <v>resumen_montos_facturados_TD_AR_CDpRGL_2411pre.xlsx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resumen_montos_facturados_TD_AR_CDpRGL_2411pre.xlsx</v>
      </c>
      <c r="E17" s="8" t="s">
        <v>24</v>
      </c>
      <c r="F17" s="10">
        <v>99612592.738999993</v>
      </c>
      <c r="G17" s="10">
        <v>577285819.03400004</v>
      </c>
      <c r="H17" s="10">
        <v>535261</v>
      </c>
      <c r="I17" s="10">
        <v>1262498.5719999999</v>
      </c>
      <c r="J17" s="10">
        <v>1004065819.960214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resumen_montos_facturados_TD_AR_CDpRGL_2411pre.xlsx</v>
      </c>
      <c r="E18" s="8" t="s">
        <v>25</v>
      </c>
      <c r="F18" s="10">
        <v>124916</v>
      </c>
      <c r="G18" s="10">
        <v>2350374.5529999998</v>
      </c>
      <c r="H18" s="10">
        <v>0</v>
      </c>
      <c r="I18" s="10">
        <v>17249</v>
      </c>
      <c r="J18" s="10">
        <v>4077713.353111201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resumen_montos_facturados_TD_AR_CDpRGL_2411pre.xlsx</v>
      </c>
      <c r="E19" s="8" t="s">
        <v>26</v>
      </c>
      <c r="F19" s="10">
        <v>36115044.516000003</v>
      </c>
      <c r="G19" s="10">
        <v>67120981.821999997</v>
      </c>
      <c r="H19" s="10">
        <v>1245663.814</v>
      </c>
      <c r="I19" s="10">
        <v>157017.12599999999</v>
      </c>
      <c r="J19" s="10">
        <v>-46142841.813761324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resumen_montos_facturados_TD_AR_CDpRGL_2411pre.xlsx</v>
      </c>
      <c r="E20" s="8" t="s">
        <v>27</v>
      </c>
      <c r="F20" s="10">
        <v>3546002.7880000002</v>
      </c>
      <c r="G20" s="10">
        <v>17843777.791000001</v>
      </c>
      <c r="H20" s="10">
        <v>0</v>
      </c>
      <c r="I20" s="10">
        <v>23027.304</v>
      </c>
      <c r="J20" s="10">
        <v>42321617.930619977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resumen_montos_facturados_TD_AR_CDpRGL_2411pre.xlsx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resumen_montos_facturados_TD_AR_CDpRGL_2411pre.xlsx</v>
      </c>
      <c r="E22" s="8" t="s">
        <v>29</v>
      </c>
      <c r="F22" s="10">
        <v>1340082</v>
      </c>
      <c r="G22" s="10">
        <v>7838468</v>
      </c>
      <c r="H22" s="10">
        <v>739</v>
      </c>
      <c r="I22" s="10">
        <v>19826</v>
      </c>
      <c r="J22" s="10">
        <v>-4747100.6899249284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resumen_montos_facturados_TD_AR_CDpRGL_2411pre.xlsx</v>
      </c>
      <c r="E23" s="8" t="s">
        <v>30</v>
      </c>
      <c r="F23" s="10">
        <v>6403665</v>
      </c>
      <c r="G23" s="10">
        <v>12660966</v>
      </c>
      <c r="H23" s="10">
        <v>536317</v>
      </c>
      <c r="I23" s="10">
        <v>135868</v>
      </c>
      <c r="J23" s="10">
        <v>25061116.035781588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resumen_montos_facturados_TD_AR_CDpRGL_2411pre.xlsx</v>
      </c>
      <c r="E24" s="8" t="s">
        <v>31</v>
      </c>
      <c r="F24" s="10">
        <v>1672175</v>
      </c>
      <c r="G24" s="10">
        <v>13546908</v>
      </c>
      <c r="H24" s="10">
        <v>234</v>
      </c>
      <c r="I24" s="10">
        <v>85701</v>
      </c>
      <c r="J24" s="10">
        <v>23255254.34684344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resumen_montos_facturados_TD_AR_CDpRGL_2411pre.xlsx</v>
      </c>
      <c r="E25" s="8" t="s">
        <v>32</v>
      </c>
      <c r="F25" s="10">
        <v>415252</v>
      </c>
      <c r="G25" s="10">
        <v>2739791</v>
      </c>
      <c r="H25" s="10">
        <v>165044</v>
      </c>
      <c r="I25" s="10">
        <v>46882</v>
      </c>
      <c r="J25" s="10">
        <v>-6019454.5377525212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resumen_montos_facturados_TD_AR_CDpRGL_2411pre.xlsx</v>
      </c>
      <c r="E26" s="8" t="s">
        <v>33</v>
      </c>
      <c r="F26" s="10">
        <v>1101853</v>
      </c>
      <c r="G26" s="10">
        <v>2017898</v>
      </c>
      <c r="H26" s="10">
        <v>110826</v>
      </c>
      <c r="I26" s="10">
        <v>8430</v>
      </c>
      <c r="J26" s="10">
        <v>4403967.7973642014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resumen_montos_facturados_TD_AR_CDpRGL_2411pre.xlsx</v>
      </c>
      <c r="E27" s="8" t="s">
        <v>34</v>
      </c>
      <c r="F27" s="10">
        <v>1776419</v>
      </c>
      <c r="G27" s="10">
        <v>5939205</v>
      </c>
      <c r="H27" s="10">
        <v>400445</v>
      </c>
      <c r="I27" s="10">
        <v>98438</v>
      </c>
      <c r="J27" s="10">
        <v>-1327856.9172710909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resumen_montos_facturados_TD_AR_CDpRGL_2411pre.xlsx</v>
      </c>
      <c r="E28" s="8" t="s">
        <v>35</v>
      </c>
      <c r="F28" s="10">
        <v>18146722.66</v>
      </c>
      <c r="G28" s="10">
        <v>65344272.25</v>
      </c>
      <c r="H28" s="10">
        <v>283367.23</v>
      </c>
      <c r="I28" s="10">
        <v>110007.8</v>
      </c>
      <c r="J28" s="10">
        <v>-63019899.812932737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resumen_montos_facturados_TD_AR_CDpRGL_2411pre.xlsx</v>
      </c>
      <c r="E29" s="8" t="s">
        <v>36</v>
      </c>
      <c r="F29" s="10">
        <v>7623977.3300000001</v>
      </c>
      <c r="G29" s="10">
        <v>6686820.3399999999</v>
      </c>
      <c r="H29" s="10">
        <v>128632</v>
      </c>
      <c r="I29" s="10">
        <v>6261</v>
      </c>
      <c r="J29" s="10">
        <v>-21172625.939113539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resumen_montos_facturados_TD_AR_CDpRGL_2411pre.xlsx</v>
      </c>
      <c r="E30" s="8" t="s">
        <v>37</v>
      </c>
      <c r="F30" s="10">
        <v>39086898.990000002</v>
      </c>
      <c r="G30" s="10">
        <v>116325295.42</v>
      </c>
      <c r="H30" s="10">
        <v>139457.94</v>
      </c>
      <c r="I30" s="10">
        <v>133164.53</v>
      </c>
      <c r="J30" s="10">
        <v>-209159216.42783779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resumen_montos_facturados_TD_AR_CDpRGL_2411pre.xlsx</v>
      </c>
      <c r="E31" s="8" t="s">
        <v>38</v>
      </c>
      <c r="F31" s="10">
        <v>1783537</v>
      </c>
      <c r="G31" s="10">
        <v>2968035</v>
      </c>
      <c r="H31" s="10">
        <v>51969</v>
      </c>
      <c r="I31" s="10">
        <v>12553</v>
      </c>
      <c r="J31" s="10">
        <v>3947080.215074019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resumen_montos_facturados_TD_AR_CDpRGL_2411pre.xlsx</v>
      </c>
      <c r="E32" s="8" t="s">
        <v>39</v>
      </c>
      <c r="F32" s="10">
        <v>36273940.112099998</v>
      </c>
      <c r="G32" s="10">
        <v>128248876.10401</v>
      </c>
      <c r="H32" s="10">
        <v>2332269.7999999998</v>
      </c>
      <c r="I32" s="10">
        <v>716217</v>
      </c>
      <c r="J32" s="10">
        <v>-230197682.44459769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resumen_montos_facturados_TD_AR_CDpRGL_2411pre.xlsx</v>
      </c>
      <c r="E33" s="8" t="s">
        <v>40</v>
      </c>
      <c r="F33" s="10">
        <v>1423339.4</v>
      </c>
      <c r="G33" s="10">
        <v>2691623.3</v>
      </c>
      <c r="H33" s="10">
        <v>50207</v>
      </c>
      <c r="I33" s="10">
        <v>95861</v>
      </c>
      <c r="J33" s="10">
        <v>6148458.6389900828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resumen_montos_facturados_TD_AR_CDpRGL_2411pre.xlsx</v>
      </c>
      <c r="E34" s="8" t="s">
        <v>41</v>
      </c>
      <c r="F34" s="10">
        <v>1276707</v>
      </c>
      <c r="G34" s="10">
        <v>8790443.6421000008</v>
      </c>
      <c r="H34" s="10">
        <v>6255</v>
      </c>
      <c r="I34" s="10">
        <v>42218</v>
      </c>
      <c r="J34" s="10">
        <v>14987915.420980129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resumen_montos_facturados_TD_AR_CDpRGL_2411pre.xlsx</v>
      </c>
      <c r="E35" s="8" t="s">
        <v>42</v>
      </c>
      <c r="F35" s="10">
        <v>4811501.0999999996</v>
      </c>
      <c r="G35" s="10">
        <v>5595383.0766000003</v>
      </c>
      <c r="H35" s="10">
        <v>350281.9</v>
      </c>
      <c r="I35" s="10">
        <v>32102.6001</v>
      </c>
      <c r="J35" s="10">
        <v>-47015169.680569507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resumen_montos_facturados_TD_AR_CDpRGL_2411pre.xlsx</v>
      </c>
      <c r="E36" s="8" t="s">
        <v>43</v>
      </c>
      <c r="F36" s="10">
        <v>4149649.6000999999</v>
      </c>
      <c r="G36" s="10">
        <v>4140508.7782999999</v>
      </c>
      <c r="H36" s="10">
        <v>399746</v>
      </c>
      <c r="I36" s="10">
        <v>76905.2</v>
      </c>
      <c r="J36" s="10">
        <v>10227850.29533772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resumen_montos_facturados_TD_AR_CDpRGL_2411pre.xlsx</v>
      </c>
      <c r="E37" s="8" t="s">
        <v>45</v>
      </c>
      <c r="F37" s="10">
        <v>615895</v>
      </c>
      <c r="G37" s="10">
        <v>789659</v>
      </c>
      <c r="H37" s="10">
        <v>56693</v>
      </c>
      <c r="I37" s="10">
        <v>12236</v>
      </c>
      <c r="J37" s="10">
        <v>-12415376.391369071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resumen_montos_facturados_TD_AR_CDpRGL_2411pre.xlsx</v>
      </c>
      <c r="E38" s="8" t="s">
        <v>46</v>
      </c>
      <c r="F38" s="10">
        <v>4020505.8080000002</v>
      </c>
      <c r="G38" s="10">
        <v>17385830.765000001</v>
      </c>
      <c r="H38" s="10">
        <v>11442.5</v>
      </c>
      <c r="I38" s="10">
        <v>28832.008999999998</v>
      </c>
      <c r="J38" s="10">
        <v>36215004.693553187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resumen_montos_facturados_TD_AR_CDpRGL_2411pre.xlsx</v>
      </c>
      <c r="E39" s="8" t="s">
        <v>47</v>
      </c>
      <c r="F39" s="10">
        <v>5415989.6499999994</v>
      </c>
      <c r="G39" s="10">
        <v>26615885.381000001</v>
      </c>
      <c r="H39" s="10">
        <v>22564.501</v>
      </c>
      <c r="I39" s="10">
        <v>23740.393</v>
      </c>
      <c r="J39" s="10">
        <v>-94695137.867541403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resumen_montos_facturados_TD_AR_CDpRGL_2411pre.xlsx</v>
      </c>
      <c r="E40" s="8" t="s">
        <v>48</v>
      </c>
      <c r="F40" s="10">
        <v>12467732.339</v>
      </c>
      <c r="G40" s="10">
        <v>48478175.480999999</v>
      </c>
      <c r="H40" s="10">
        <v>38307.54</v>
      </c>
      <c r="I40" s="10">
        <v>77095.680999999997</v>
      </c>
      <c r="J40" s="10">
        <v>-167751677.44034991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resumen_montos_facturados_TD_AR_CDpRGL_2411pre.xlsx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resumen_montos_facturados_TD_AR_CDpRGL_2411pre.xlsx</v>
      </c>
      <c r="E42" s="8" t="s">
        <v>50</v>
      </c>
      <c r="F42" s="10">
        <v>0</v>
      </c>
      <c r="G42" s="10">
        <v>7376</v>
      </c>
      <c r="H42" s="10">
        <v>0</v>
      </c>
      <c r="I42" s="10">
        <v>0</v>
      </c>
      <c r="J42" s="10">
        <v>0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resumen_montos_facturados_TD_AR_CDpRGL_2411pre.xlsx</v>
      </c>
      <c r="E43" s="8" t="s">
        <v>51</v>
      </c>
      <c r="F43" s="10">
        <v>30000.9</v>
      </c>
      <c r="G43" s="10">
        <v>49706.2</v>
      </c>
      <c r="H43" s="10">
        <v>0</v>
      </c>
      <c r="I43" s="10">
        <v>0</v>
      </c>
      <c r="J43" s="10">
        <v>-1883728.176607826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456949536.07419991</v>
      </c>
      <c r="G44" s="16">
        <f>SUM(G8:G43)</f>
        <v>1620563581.3066113</v>
      </c>
      <c r="H44" s="16">
        <f>SUM(H8:H43)</f>
        <v>12772706.318999998</v>
      </c>
      <c r="I44" s="16">
        <f>SUM(I8:I43)</f>
        <v>4990482.6930999998</v>
      </c>
      <c r="J44" s="16">
        <f>SUM(J8:J43)</f>
        <v>229768046.54570574</v>
      </c>
      <c r="K44" s="11"/>
      <c r="L44" s="11"/>
      <c r="M44" s="12"/>
      <c r="N44" s="12"/>
    </row>
    <row r="45" spans="2:14" x14ac:dyDescent="0.2">
      <c r="N45" s="12"/>
    </row>
    <row r="46" spans="2:14" x14ac:dyDescent="0.2">
      <c r="F46" s="18"/>
      <c r="G46" s="18"/>
      <c r="H46" s="18"/>
      <c r="I46" s="18"/>
      <c r="J46" s="18"/>
      <c r="N46" s="12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D7A5-B85F-42A0-957B-6B501149DDC6}">
  <sheetPr codeName="Hoja13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3.7109375" customWidth="1"/>
    <col min="9" max="9" width="9.5703125" bestFit="1" customWidth="1"/>
    <col min="10" max="10" width="12.140625" bestFit="1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2" t="s">
        <v>1</v>
      </c>
      <c r="F2" s="2"/>
      <c r="G2" s="3" t="str">
        <f>'Entrada AR'!$G$2</f>
        <v>pre</v>
      </c>
    </row>
    <row r="3" spans="2:15" x14ac:dyDescent="0.2">
      <c r="B3" s="4">
        <f>'Entrada AR'!FechaFacturacion</f>
        <v>45597</v>
      </c>
      <c r="C3" s="4"/>
      <c r="D3" s="5"/>
    </row>
    <row r="4" spans="2:15" x14ac:dyDescent="0.2">
      <c r="B4" s="1"/>
    </row>
    <row r="6" spans="2:15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55</v>
      </c>
      <c r="N6" s="12"/>
    </row>
    <row r="7" spans="2:15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N7" s="12"/>
      <c r="O7" s="17"/>
    </row>
    <row r="8" spans="2:15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resumen_montos_facturados_TD_AR_CDpRGL_2411pre.xlsx</v>
      </c>
      <c r="E8" s="8" t="s">
        <v>14</v>
      </c>
      <c r="F8" s="10">
        <v>2326097</v>
      </c>
      <c r="G8" s="10">
        <v>2635414</v>
      </c>
      <c r="H8" s="10">
        <v>185452</v>
      </c>
      <c r="I8" s="10">
        <v>40408</v>
      </c>
      <c r="J8" s="10">
        <v>3837382.4184077382</v>
      </c>
      <c r="K8" s="11"/>
      <c r="L8" s="11"/>
      <c r="M8" s="12"/>
      <c r="N8" s="12"/>
    </row>
    <row r="9" spans="2:15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resumen_montos_facturados_TD_AR_CDpRGL_2411pre.xlsx</v>
      </c>
      <c r="E9" s="8" t="s">
        <v>15</v>
      </c>
      <c r="F9" s="10">
        <v>831740</v>
      </c>
      <c r="G9" s="10">
        <v>3003747</v>
      </c>
      <c r="H9" s="10">
        <v>2532</v>
      </c>
      <c r="I9" s="10">
        <v>30414</v>
      </c>
      <c r="J9" s="10">
        <v>2758953.3434724798</v>
      </c>
      <c r="K9" s="11"/>
      <c r="L9" s="11"/>
      <c r="M9" s="12"/>
      <c r="N9" s="12"/>
    </row>
    <row r="10" spans="2:15" x14ac:dyDescent="0.2">
      <c r="B10" s="8">
        <v>3</v>
      </c>
      <c r="C10" s="8" t="s">
        <v>16</v>
      </c>
      <c r="D10" s="9" t="str">
        <f t="shared" si="0"/>
        <v>resumen_montos_facturados_TD_AR_CDpRGL_2411pre.xlsx</v>
      </c>
      <c r="E10" s="8" t="s">
        <v>16</v>
      </c>
      <c r="F10" s="10">
        <v>1805683.4</v>
      </c>
      <c r="G10" s="10">
        <v>5971293.3500100002</v>
      </c>
      <c r="H10" s="10">
        <v>0</v>
      </c>
      <c r="I10" s="10">
        <v>13086.6</v>
      </c>
      <c r="J10" s="10">
        <v>6230978.1555255977</v>
      </c>
      <c r="K10" s="11"/>
      <c r="L10" s="11"/>
      <c r="M10" s="12"/>
      <c r="N10" s="12"/>
    </row>
    <row r="11" spans="2:15" x14ac:dyDescent="0.2">
      <c r="B11" s="8">
        <v>4</v>
      </c>
      <c r="C11" s="8" t="s">
        <v>17</v>
      </c>
      <c r="D11" s="9" t="str">
        <f t="shared" si="0"/>
        <v>resumen_montos_facturados_TD_AR_CDpRGL_2411pre.xlsx</v>
      </c>
      <c r="E11" s="8" t="s">
        <v>17</v>
      </c>
      <c r="F11" s="10">
        <v>435195</v>
      </c>
      <c r="G11" s="10">
        <v>1404719</v>
      </c>
      <c r="H11" s="10">
        <v>0</v>
      </c>
      <c r="I11" s="10">
        <v>0</v>
      </c>
      <c r="J11" s="10">
        <v>1606130.9589036449</v>
      </c>
      <c r="K11" s="11"/>
      <c r="L11" s="11"/>
      <c r="M11" s="12"/>
      <c r="N11" s="12"/>
    </row>
    <row r="12" spans="2:15" x14ac:dyDescent="0.2">
      <c r="B12" s="8">
        <v>5</v>
      </c>
      <c r="C12" s="8" t="s">
        <v>18</v>
      </c>
      <c r="D12" s="9" t="str">
        <f t="shared" si="0"/>
        <v>resumen_montos_facturados_TD_AR_CDpRGL_2411pre.xlsx</v>
      </c>
      <c r="E12" s="8" t="s">
        <v>18</v>
      </c>
      <c r="F12" s="10">
        <v>150295288.942</v>
      </c>
      <c r="G12" s="10">
        <v>443534739.91159087</v>
      </c>
      <c r="H12" s="10">
        <v>5446913.2929999996</v>
      </c>
      <c r="I12" s="10">
        <v>1602973.736</v>
      </c>
      <c r="J12" s="10">
        <v>-486040788.48744488</v>
      </c>
      <c r="K12" s="11"/>
      <c r="L12" s="11"/>
      <c r="M12" s="12"/>
      <c r="N12" s="12"/>
    </row>
    <row r="13" spans="2:15" x14ac:dyDescent="0.2">
      <c r="B13" s="8">
        <v>6</v>
      </c>
      <c r="C13" s="8" t="s">
        <v>19</v>
      </c>
      <c r="D13" s="9" t="str">
        <f t="shared" si="0"/>
        <v>resumen_montos_facturados_TD_AR_CDpRGL_2411pre.xlsx</v>
      </c>
      <c r="E13" s="8" t="s">
        <v>20</v>
      </c>
      <c r="F13" s="10">
        <v>47106.500999999997</v>
      </c>
      <c r="G13" s="10">
        <v>905866.74800000002</v>
      </c>
      <c r="H13" s="10">
        <v>0</v>
      </c>
      <c r="I13" s="10">
        <v>0</v>
      </c>
      <c r="J13" s="10">
        <v>600548.64445758157</v>
      </c>
      <c r="K13" s="11"/>
      <c r="L13" s="11"/>
      <c r="M13" s="12"/>
      <c r="N13" s="12"/>
    </row>
    <row r="14" spans="2:15" x14ac:dyDescent="0.2">
      <c r="B14" s="8">
        <v>7</v>
      </c>
      <c r="C14" s="8" t="s">
        <v>21</v>
      </c>
      <c r="D14" s="9" t="str">
        <f t="shared" si="0"/>
        <v>resumen_montos_facturados_TD_AR_CDpRGL_2411pre.xlsx</v>
      </c>
      <c r="E14" s="8" t="s">
        <v>21</v>
      </c>
      <c r="F14" s="10">
        <v>11974026.299000001</v>
      </c>
      <c r="G14" s="10">
        <v>19645721.359000001</v>
      </c>
      <c r="H14" s="10">
        <v>272085.80099999998</v>
      </c>
      <c r="I14" s="10">
        <v>81469.142000000007</v>
      </c>
      <c r="J14" s="10">
        <v>-13889775.642939899</v>
      </c>
      <c r="K14" s="11"/>
      <c r="L14" s="11"/>
      <c r="M14" s="12"/>
      <c r="N14" s="12"/>
    </row>
    <row r="15" spans="2:15" x14ac:dyDescent="0.2">
      <c r="B15" s="8">
        <v>8</v>
      </c>
      <c r="C15" s="8" t="s">
        <v>22</v>
      </c>
      <c r="D15" s="9" t="str">
        <f t="shared" si="0"/>
        <v>resumen_montos_facturados_TD_AR_CDpRGL_2411pre.xlsx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5" x14ac:dyDescent="0.2">
      <c r="B16" s="8">
        <v>9</v>
      </c>
      <c r="C16" s="8" t="s">
        <v>23</v>
      </c>
      <c r="D16" s="9" t="str">
        <f t="shared" si="0"/>
        <v>resumen_montos_facturados_TD_AR_CDpRGL_2411pre.xlsx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resumen_montos_facturados_TD_AR_CDpRGL_2411pre.xlsx</v>
      </c>
      <c r="E17" s="8" t="s">
        <v>24</v>
      </c>
      <c r="F17" s="10">
        <v>99612592.738999993</v>
      </c>
      <c r="G17" s="10">
        <v>577285819.03400004</v>
      </c>
      <c r="H17" s="10">
        <v>535261</v>
      </c>
      <c r="I17" s="10">
        <v>1262498.5719999999</v>
      </c>
      <c r="J17" s="10">
        <v>504429501.28083438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resumen_montos_facturados_TD_AR_CDpRGL_2411pre.xlsx</v>
      </c>
      <c r="E18" s="8" t="s">
        <v>25</v>
      </c>
      <c r="F18" s="10">
        <v>124916</v>
      </c>
      <c r="G18" s="10">
        <v>2350374.5529999998</v>
      </c>
      <c r="H18" s="10">
        <v>0</v>
      </c>
      <c r="I18" s="10">
        <v>17249</v>
      </c>
      <c r="J18" s="10">
        <v>1876959.083775524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resumen_montos_facturados_TD_AR_CDpRGL_2411pre.xlsx</v>
      </c>
      <c r="E19" s="8" t="s">
        <v>26</v>
      </c>
      <c r="F19" s="10">
        <v>36115044.516000003</v>
      </c>
      <c r="G19" s="10">
        <v>67120981.821999997</v>
      </c>
      <c r="H19" s="10">
        <v>1245663.814</v>
      </c>
      <c r="I19" s="10">
        <v>157017.12599999999</v>
      </c>
      <c r="J19" s="10">
        <v>-56282418.066988923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resumen_montos_facturados_TD_AR_CDpRGL_2411pre.xlsx</v>
      </c>
      <c r="E20" s="8" t="s">
        <v>27</v>
      </c>
      <c r="F20" s="10">
        <v>3546002.7880000002</v>
      </c>
      <c r="G20" s="10">
        <v>17843777.791000001</v>
      </c>
      <c r="H20" s="10">
        <v>0</v>
      </c>
      <c r="I20" s="10">
        <v>23027.304</v>
      </c>
      <c r="J20" s="10">
        <v>19437768.076318771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resumen_montos_facturados_TD_AR_CDpRGL_2411pre.xlsx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resumen_montos_facturados_TD_AR_CDpRGL_2411pre.xlsx</v>
      </c>
      <c r="E22" s="8" t="s">
        <v>29</v>
      </c>
      <c r="F22" s="10">
        <v>1340082</v>
      </c>
      <c r="G22" s="10">
        <v>7838468</v>
      </c>
      <c r="H22" s="10">
        <v>739</v>
      </c>
      <c r="I22" s="10">
        <v>19826</v>
      </c>
      <c r="J22" s="10">
        <v>6940524.3997858316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resumen_montos_facturados_TD_AR_CDpRGL_2411pre.xlsx</v>
      </c>
      <c r="E23" s="8" t="s">
        <v>30</v>
      </c>
      <c r="F23" s="10">
        <v>6403665</v>
      </c>
      <c r="G23" s="10">
        <v>12660966</v>
      </c>
      <c r="H23" s="10">
        <v>536317</v>
      </c>
      <c r="I23" s="10">
        <v>135868</v>
      </c>
      <c r="J23" s="10">
        <v>12877832.567994719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resumen_montos_facturados_TD_AR_CDpRGL_2411pre.xlsx</v>
      </c>
      <c r="E24" s="8" t="s">
        <v>31</v>
      </c>
      <c r="F24" s="10">
        <v>1672175</v>
      </c>
      <c r="G24" s="10">
        <v>13546908</v>
      </c>
      <c r="H24" s="10">
        <v>234</v>
      </c>
      <c r="I24" s="10">
        <v>85701</v>
      </c>
      <c r="J24" s="10">
        <v>10698386.641841801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resumen_montos_facturados_TD_AR_CDpRGL_2411pre.xlsx</v>
      </c>
      <c r="E25" s="8" t="s">
        <v>32</v>
      </c>
      <c r="F25" s="10">
        <v>415252</v>
      </c>
      <c r="G25" s="10">
        <v>2739791</v>
      </c>
      <c r="H25" s="10">
        <v>165044</v>
      </c>
      <c r="I25" s="10">
        <v>46882</v>
      </c>
      <c r="J25" s="10">
        <v>2491308.1110966229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resumen_montos_facturados_TD_AR_CDpRGL_2411pre.xlsx</v>
      </c>
      <c r="E26" s="8" t="s">
        <v>33</v>
      </c>
      <c r="F26" s="10">
        <v>1101853</v>
      </c>
      <c r="G26" s="10">
        <v>2017898</v>
      </c>
      <c r="H26" s="10">
        <v>110826</v>
      </c>
      <c r="I26" s="10">
        <v>8430</v>
      </c>
      <c r="J26" s="10">
        <v>2372509.337050715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resumen_montos_facturados_TD_AR_CDpRGL_2411pre.xlsx</v>
      </c>
      <c r="E27" s="8" t="s">
        <v>34</v>
      </c>
      <c r="F27" s="10">
        <v>1776419</v>
      </c>
      <c r="G27" s="10">
        <v>5939205</v>
      </c>
      <c r="H27" s="10">
        <v>400445</v>
      </c>
      <c r="I27" s="10">
        <v>98438</v>
      </c>
      <c r="J27" s="10">
        <v>4503755.1474357527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resumen_montos_facturados_TD_AR_CDpRGL_2411pre.xlsx</v>
      </c>
      <c r="E28" s="8" t="s">
        <v>35</v>
      </c>
      <c r="F28" s="10">
        <v>18146722.66</v>
      </c>
      <c r="G28" s="10">
        <v>65344272.25</v>
      </c>
      <c r="H28" s="10">
        <v>283367.23</v>
      </c>
      <c r="I28" s="10">
        <v>110007.8</v>
      </c>
      <c r="J28" s="10">
        <v>49360614.970330738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resumen_montos_facturados_TD_AR_CDpRGL_2411pre.xlsx</v>
      </c>
      <c r="E29" s="8" t="s">
        <v>36</v>
      </c>
      <c r="F29" s="10">
        <v>7623977.3300000001</v>
      </c>
      <c r="G29" s="10">
        <v>6686820.3399999999</v>
      </c>
      <c r="H29" s="10">
        <v>128632</v>
      </c>
      <c r="I29" s="10">
        <v>6261</v>
      </c>
      <c r="J29" s="10">
        <v>10425629.701840781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resumen_montos_facturados_TD_AR_CDpRGL_2411pre.xlsx</v>
      </c>
      <c r="E30" s="8" t="s">
        <v>37</v>
      </c>
      <c r="F30" s="10">
        <v>39086898.990000002</v>
      </c>
      <c r="G30" s="10">
        <v>116325295.42</v>
      </c>
      <c r="H30" s="10">
        <v>139457.94</v>
      </c>
      <c r="I30" s="10">
        <v>133164.53</v>
      </c>
      <c r="J30" s="10">
        <v>112210910.12629031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resumen_montos_facturados_TD_AR_CDpRGL_2411pre.xlsx</v>
      </c>
      <c r="E31" s="8" t="s">
        <v>38</v>
      </c>
      <c r="F31" s="10">
        <v>1783537</v>
      </c>
      <c r="G31" s="10">
        <v>2968035</v>
      </c>
      <c r="H31" s="10">
        <v>51969</v>
      </c>
      <c r="I31" s="10">
        <v>12553</v>
      </c>
      <c r="J31" s="10">
        <v>2819754.8239425779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resumen_montos_facturados_TD_AR_CDpRGL_2411pre.xlsx</v>
      </c>
      <c r="E32" s="8" t="s">
        <v>39</v>
      </c>
      <c r="F32" s="10">
        <v>36273940.112099998</v>
      </c>
      <c r="G32" s="10">
        <v>128248876.10401</v>
      </c>
      <c r="H32" s="10">
        <v>2332269.7999999998</v>
      </c>
      <c r="I32" s="10">
        <v>716217</v>
      </c>
      <c r="J32" s="10">
        <v>-114430107.7994339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resumen_montos_facturados_TD_AR_CDpRGL_2411pre.xlsx</v>
      </c>
      <c r="E33" s="8" t="s">
        <v>40</v>
      </c>
      <c r="F33" s="10">
        <v>1423339.4</v>
      </c>
      <c r="G33" s="10">
        <v>2691623.3</v>
      </c>
      <c r="H33" s="10">
        <v>50207</v>
      </c>
      <c r="I33" s="10">
        <v>95861</v>
      </c>
      <c r="J33" s="10">
        <v>2828248.6002733121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resumen_montos_facturados_TD_AR_CDpRGL_2411pre.xlsx</v>
      </c>
      <c r="E34" s="8" t="s">
        <v>41</v>
      </c>
      <c r="F34" s="10">
        <v>1276707</v>
      </c>
      <c r="G34" s="10">
        <v>8790443.6421000008</v>
      </c>
      <c r="H34" s="10">
        <v>6255</v>
      </c>
      <c r="I34" s="10">
        <v>42218</v>
      </c>
      <c r="J34" s="10">
        <v>6870242.2938767904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resumen_montos_facturados_TD_AR_CDpRGL_2411pre.xlsx</v>
      </c>
      <c r="E35" s="8" t="s">
        <v>42</v>
      </c>
      <c r="F35" s="10">
        <v>4811501.0999999996</v>
      </c>
      <c r="G35" s="10">
        <v>5595383.0766000003</v>
      </c>
      <c r="H35" s="10">
        <v>350281.9</v>
      </c>
      <c r="I35" s="10">
        <v>32102.6001</v>
      </c>
      <c r="J35" s="10">
        <v>5847989.6100713834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resumen_montos_facturados_TD_AR_CDpRGL_2411pre.xlsx</v>
      </c>
      <c r="E36" s="8" t="s">
        <v>43</v>
      </c>
      <c r="F36" s="10">
        <v>4149649.6000999999</v>
      </c>
      <c r="G36" s="10">
        <v>4140508.7782999999</v>
      </c>
      <c r="H36" s="10">
        <v>399746</v>
      </c>
      <c r="I36" s="10">
        <v>76905.2</v>
      </c>
      <c r="J36" s="10">
        <v>4740466.8952571107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resumen_montos_facturados_TD_AR_CDpRGL_2411pre.xlsx</v>
      </c>
      <c r="E37" s="8" t="s">
        <v>45</v>
      </c>
      <c r="F37" s="10">
        <v>615895</v>
      </c>
      <c r="G37" s="10">
        <v>789659</v>
      </c>
      <c r="H37" s="10">
        <v>56693</v>
      </c>
      <c r="I37" s="10">
        <v>12236</v>
      </c>
      <c r="J37" s="10">
        <v>1000027.944134542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resumen_montos_facturados_TD_AR_CDpRGL_2411pre.xlsx</v>
      </c>
      <c r="E38" s="8" t="s">
        <v>46</v>
      </c>
      <c r="F38" s="10">
        <v>4020505.8080000002</v>
      </c>
      <c r="G38" s="10">
        <v>17385830.765000001</v>
      </c>
      <c r="H38" s="10">
        <v>11442.5</v>
      </c>
      <c r="I38" s="10">
        <v>28832.008999999998</v>
      </c>
      <c r="J38" s="10">
        <v>16858800.866111599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resumen_montos_facturados_TD_AR_CDpRGL_2411pre.xlsx</v>
      </c>
      <c r="E39" s="8" t="s">
        <v>47</v>
      </c>
      <c r="F39" s="10">
        <v>5415989.6499999994</v>
      </c>
      <c r="G39" s="10">
        <v>26615885.381000001</v>
      </c>
      <c r="H39" s="10">
        <v>22564.501</v>
      </c>
      <c r="I39" s="10">
        <v>23740.393</v>
      </c>
      <c r="J39" s="10">
        <v>23919567.285847891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resumen_montos_facturados_TD_AR_CDpRGL_2411pre.xlsx</v>
      </c>
      <c r="E40" s="8" t="s">
        <v>48</v>
      </c>
      <c r="F40" s="10">
        <v>12467732.339</v>
      </c>
      <c r="G40" s="10">
        <v>48478175.480999999</v>
      </c>
      <c r="H40" s="10">
        <v>38307.54</v>
      </c>
      <c r="I40" s="10">
        <v>77095.680999999997</v>
      </c>
      <c r="J40" s="10">
        <v>-99869391.458855733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resumen_montos_facturados_TD_AR_CDpRGL_2411pre.xlsx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resumen_montos_facturados_TD_AR_CDpRGL_2411pre.xlsx</v>
      </c>
      <c r="E42" s="8" t="s">
        <v>50</v>
      </c>
      <c r="F42" s="10">
        <v>0</v>
      </c>
      <c r="G42" s="10">
        <v>7376</v>
      </c>
      <c r="H42" s="10">
        <v>0</v>
      </c>
      <c r="I42" s="10">
        <v>0</v>
      </c>
      <c r="J42" s="10">
        <v>8206.4236407999997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resumen_montos_facturados_TD_AR_CDpRGL_2411pre.xlsx</v>
      </c>
      <c r="E43" s="8" t="s">
        <v>51</v>
      </c>
      <c r="F43" s="10">
        <v>30000.9</v>
      </c>
      <c r="G43" s="10">
        <v>49706.2</v>
      </c>
      <c r="H43" s="10">
        <v>0</v>
      </c>
      <c r="I43" s="10">
        <v>0</v>
      </c>
      <c r="J43" s="10">
        <v>-2077724.0790498359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456949536.07419991</v>
      </c>
      <c r="G44" s="16">
        <f>SUM(G8:G43)</f>
        <v>1620563581.3066113</v>
      </c>
      <c r="H44" s="16">
        <f>SUM(H8:H43)</f>
        <v>12772706.318999998</v>
      </c>
      <c r="I44" s="16">
        <f>SUM(I8:I43)</f>
        <v>4990482.6930999998</v>
      </c>
      <c r="J44" s="16">
        <f>SUM(J8:J43)</f>
        <v>44962792.173805825</v>
      </c>
      <c r="K44" s="11"/>
      <c r="L44" s="11"/>
      <c r="M44" s="12"/>
      <c r="N44" s="12"/>
    </row>
    <row r="45" spans="2:14" x14ac:dyDescent="0.2">
      <c r="M45" s="12"/>
      <c r="N45" s="12"/>
    </row>
    <row r="46" spans="2:14" x14ac:dyDescent="0.2">
      <c r="F46" s="18"/>
      <c r="G46" s="18"/>
      <c r="H46" s="18"/>
      <c r="I46" s="18"/>
      <c r="J46" s="18"/>
      <c r="N46" s="12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8CCB-057A-4061-B408-CBDC0258E1ED}">
  <sheetPr codeName="Hoja9">
    <tabColor theme="6" tint="0.59999389629810485"/>
  </sheetPr>
  <dimension ref="B2:R53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20"/>
    <col min="2" max="2" width="21" style="20" customWidth="1"/>
    <col min="3" max="3" width="14.28515625" style="20" bestFit="1" customWidth="1"/>
    <col min="4" max="4" width="15.42578125" style="20" bestFit="1" customWidth="1"/>
    <col min="5" max="5" width="13.5703125" style="20" customWidth="1"/>
    <col min="6" max="6" width="11.7109375" style="20" customWidth="1"/>
    <col min="7" max="7" width="11.5703125" style="20" bestFit="1" customWidth="1"/>
    <col min="8" max="8" width="13.42578125" style="20" bestFit="1" customWidth="1"/>
    <col min="9" max="9" width="16.140625" style="20" bestFit="1" customWidth="1"/>
    <col min="10" max="10" width="17.140625" style="20" customWidth="1"/>
    <col min="11" max="11" width="16.140625" style="20" customWidth="1"/>
    <col min="12" max="12" width="14.5703125" style="20" bestFit="1" customWidth="1"/>
    <col min="13" max="13" width="22.85546875" style="20" bestFit="1" customWidth="1"/>
    <col min="14" max="14" width="15.85546875" style="20" bestFit="1" customWidth="1"/>
    <col min="15" max="15" width="21.85546875" style="20" customWidth="1"/>
    <col min="16" max="16" width="11.5703125" style="20" bestFit="1" customWidth="1"/>
    <col min="17" max="17" width="14.42578125" style="20" customWidth="1"/>
    <col min="18" max="16384" width="11.42578125" style="20"/>
  </cols>
  <sheetData>
    <row r="2" spans="2:18" x14ac:dyDescent="0.2">
      <c r="B2" s="19" t="s">
        <v>56</v>
      </c>
      <c r="C2" s="19"/>
      <c r="D2" s="19"/>
    </row>
    <row r="3" spans="2:18" x14ac:dyDescent="0.2">
      <c r="B3" s="21">
        <f>FechaFacturacion</f>
        <v>45597</v>
      </c>
      <c r="C3" s="22"/>
      <c r="D3" s="22"/>
      <c r="I3" s="23" t="s">
        <v>57</v>
      </c>
      <c r="J3" s="24"/>
      <c r="K3" s="24"/>
    </row>
    <row r="4" spans="2:18" x14ac:dyDescent="0.2">
      <c r="B4" s="25"/>
      <c r="D4" s="22"/>
      <c r="I4" s="26">
        <v>2.557787040545545E-3</v>
      </c>
      <c r="J4" s="27"/>
      <c r="K4" s="27"/>
      <c r="L4" s="28"/>
    </row>
    <row r="6" spans="2:18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53</v>
      </c>
      <c r="H6" s="29" t="str">
        <f>"Saldo "&amp;TEXT(B3-1,"mmmmmmmmmm")</f>
        <v>Saldo octubre</v>
      </c>
      <c r="I6" s="29" t="s">
        <v>58</v>
      </c>
      <c r="J6" s="29" t="s">
        <v>59</v>
      </c>
      <c r="K6" s="29" t="s">
        <v>60</v>
      </c>
      <c r="L6" s="30" t="s">
        <v>61</v>
      </c>
      <c r="M6" s="29" t="s">
        <v>62</v>
      </c>
      <c r="N6" s="31" t="s">
        <v>63</v>
      </c>
      <c r="O6" s="29" t="s">
        <v>64</v>
      </c>
      <c r="P6" s="29" t="s">
        <v>65</v>
      </c>
      <c r="R6" s="32"/>
    </row>
    <row r="7" spans="2:18" ht="12.75" customHeight="1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8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/>
      <c r="K8" s="37"/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8" x14ac:dyDescent="0.2">
      <c r="B9" s="40" t="s">
        <v>14</v>
      </c>
      <c r="C9" s="41">
        <f>SUMIF('Entrada TD'!$E$8:$E$43,'Reliquidación TD'!$B9,'Entrada TD'!F$8:F$43)</f>
        <v>2326097</v>
      </c>
      <c r="D9" s="41">
        <f>SUMIF('Entrada TD'!$E$8:$E$43,'Reliquidación TD'!$B9,'Entrada TD'!G$8:G$43)</f>
        <v>2635414</v>
      </c>
      <c r="E9" s="41">
        <f>SUMIF('Entrada TD'!$E$8:$E$43,'Reliquidación TD'!$B9,'Entrada TD'!H$8:H$43)</f>
        <v>185452</v>
      </c>
      <c r="F9" s="41">
        <f>SUMIF('Entrada TD'!$E$8:$E$43,'Reliquidación TD'!$B9,'Entrada TD'!I$8:I$43)</f>
        <v>40408</v>
      </c>
      <c r="G9" s="41">
        <f>SUMIF('Entrada TD'!$E$8:$E$43,'Reliquidación TD'!$B9,'Entrada TD'!J$8:J$43)</f>
        <v>0</v>
      </c>
      <c r="H9" s="41">
        <v>0</v>
      </c>
      <c r="I9" s="41">
        <f t="shared" ref="I9:I43" si="0">H9*($I$4+1)</f>
        <v>0</v>
      </c>
      <c r="J9" s="41">
        <v>0</v>
      </c>
      <c r="K9" s="41">
        <f>+J9*($I$4+1)</f>
        <v>0</v>
      </c>
      <c r="L9" s="41">
        <f>+G9+K9</f>
        <v>0</v>
      </c>
      <c r="M9" s="41">
        <f>IF(L9&lt;0,-L9,0)</f>
        <v>0</v>
      </c>
      <c r="N9" s="41">
        <f>IF(L9&gt;0,L9,0)</f>
        <v>0</v>
      </c>
      <c r="O9" s="41">
        <f t="shared" ref="O9:O43" si="1">IF(OR($M$44=0,$N$44=0),0,(M9/$M$44-N9/$N$44)*$N$49)</f>
        <v>0</v>
      </c>
      <c r="P9" s="41">
        <f t="shared" ref="P9:P43" si="2">L9+O9</f>
        <v>0</v>
      </c>
    </row>
    <row r="10" spans="2:18" x14ac:dyDescent="0.2">
      <c r="B10" s="42" t="s">
        <v>15</v>
      </c>
      <c r="C10" s="43">
        <f>SUMIF('Entrada TD'!$E$8:$E$43,'Reliquidación TD'!$B10,'Entrada TD'!F$8:F$43)</f>
        <v>831740</v>
      </c>
      <c r="D10" s="43">
        <f>SUMIF('Entrada TD'!$E$8:$E$43,'Reliquidación TD'!$B10,'Entrada TD'!G$8:G$43)</f>
        <v>3003747</v>
      </c>
      <c r="E10" s="43">
        <f>SUMIF('Entrada TD'!$E$8:$E$43,'Reliquidación TD'!$B10,'Entrada TD'!H$8:H$43)</f>
        <v>2532</v>
      </c>
      <c r="F10" s="43">
        <f>SUMIF('Entrada TD'!$E$8:$E$43,'Reliquidación TD'!$B10,'Entrada TD'!I$8:I$43)</f>
        <v>30414</v>
      </c>
      <c r="G10" s="43">
        <f>SUMIF('Entrada TD'!$E$8:$E$43,'Reliquidación TD'!$B10,'Entrada TD'!J$8:J$43)</f>
        <v>0</v>
      </c>
      <c r="H10" s="43">
        <v>0</v>
      </c>
      <c r="I10" s="43">
        <f t="shared" si="0"/>
        <v>0</v>
      </c>
      <c r="J10" s="43">
        <v>0</v>
      </c>
      <c r="K10" s="43">
        <f t="shared" ref="K10:K43" si="3">+J10*($I$4+1)</f>
        <v>0</v>
      </c>
      <c r="L10" s="43">
        <f t="shared" ref="L10:L43" si="4">+G10+K10</f>
        <v>0</v>
      </c>
      <c r="M10" s="43">
        <f t="shared" ref="M10:M43" si="5">IF(L10&lt;0,-L10,0)</f>
        <v>0</v>
      </c>
      <c r="N10" s="43">
        <f t="shared" ref="N10:N43" si="6">IF(L10&gt;0,L10,0)</f>
        <v>0</v>
      </c>
      <c r="O10" s="43">
        <f t="shared" si="1"/>
        <v>0</v>
      </c>
      <c r="P10" s="43">
        <f t="shared" si="2"/>
        <v>0</v>
      </c>
    </row>
    <row r="11" spans="2:18" x14ac:dyDescent="0.2">
      <c r="B11" s="42" t="s">
        <v>16</v>
      </c>
      <c r="C11" s="43">
        <f>SUMIF('Entrada TD'!$E$8:$E$43,'Reliquidación TD'!$B11,'Entrada TD'!F$8:F$43)</f>
        <v>1805683.4</v>
      </c>
      <c r="D11" s="43">
        <f>SUMIF('Entrada TD'!$E$8:$E$43,'Reliquidación TD'!$B11,'Entrada TD'!G$8:G$43)</f>
        <v>5971293.3500100002</v>
      </c>
      <c r="E11" s="43">
        <f>SUMIF('Entrada TD'!$E$8:$E$43,'Reliquidación TD'!$B11,'Entrada TD'!H$8:H$43)</f>
        <v>0</v>
      </c>
      <c r="F11" s="43">
        <f>SUMIF('Entrada TD'!$E$8:$E$43,'Reliquidación TD'!$B11,'Entrada TD'!I$8:I$43)</f>
        <v>13086.6</v>
      </c>
      <c r="G11" s="43">
        <f>SUMIF('Entrada TD'!$E$8:$E$43,'Reliquidación TD'!$B11,'Entrada TD'!J$8:J$43)</f>
        <v>0</v>
      </c>
      <c r="H11" s="43">
        <v>0</v>
      </c>
      <c r="I11" s="43">
        <f t="shared" si="0"/>
        <v>0</v>
      </c>
      <c r="J11" s="43">
        <v>0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43">
        <f t="shared" si="6"/>
        <v>0</v>
      </c>
      <c r="O11" s="43">
        <f t="shared" si="1"/>
        <v>0</v>
      </c>
      <c r="P11" s="43">
        <f t="shared" si="2"/>
        <v>0</v>
      </c>
    </row>
    <row r="12" spans="2:18" x14ac:dyDescent="0.2">
      <c r="B12" s="42" t="s">
        <v>17</v>
      </c>
      <c r="C12" s="43">
        <f>SUMIF('Entrada TD'!$E$8:$E$43,'Reliquidación TD'!$B12,'Entrada TD'!F$8:F$43)</f>
        <v>435195</v>
      </c>
      <c r="D12" s="43">
        <f>SUMIF('Entrada TD'!$E$8:$E$43,'Reliquidación TD'!$B12,'Entrada TD'!G$8:G$43)</f>
        <v>1404719</v>
      </c>
      <c r="E12" s="43">
        <f>SUMIF('Entrada TD'!$E$8:$E$43,'Reliquidación TD'!$B12,'Entrada TD'!H$8:H$43)</f>
        <v>0</v>
      </c>
      <c r="F12" s="43">
        <f>SUMIF('Entrada TD'!$E$8:$E$43,'Reliquidación TD'!$B12,'Entrada TD'!I$8:I$43)</f>
        <v>0</v>
      </c>
      <c r="G12" s="43">
        <f>SUMIF('Entrada TD'!$E$8:$E$43,'Reliquidación TD'!$B12,'Entrada TD'!J$8:J$43)</f>
        <v>0</v>
      </c>
      <c r="H12" s="43">
        <v>0</v>
      </c>
      <c r="I12" s="43">
        <f t="shared" si="0"/>
        <v>0</v>
      </c>
      <c r="J12" s="43">
        <v>0</v>
      </c>
      <c r="K12" s="43">
        <f t="shared" si="3"/>
        <v>0</v>
      </c>
      <c r="L12" s="43">
        <f t="shared" si="4"/>
        <v>0</v>
      </c>
      <c r="M12" s="43">
        <f t="shared" si="5"/>
        <v>0</v>
      </c>
      <c r="N12" s="43">
        <f t="shared" si="6"/>
        <v>0</v>
      </c>
      <c r="O12" s="43">
        <f t="shared" si="1"/>
        <v>0</v>
      </c>
      <c r="P12" s="43">
        <f t="shared" si="2"/>
        <v>0</v>
      </c>
    </row>
    <row r="13" spans="2:18" x14ac:dyDescent="0.2">
      <c r="B13" s="42" t="s">
        <v>18</v>
      </c>
      <c r="C13" s="43">
        <f>SUMIF('Entrada TD'!$E$8:$E$43,'Reliquidación TD'!$B13,'Entrada TD'!F$8:F$43)</f>
        <v>150295288.942</v>
      </c>
      <c r="D13" s="43">
        <f>SUMIF('Entrada TD'!$E$8:$E$43,'Reliquidación TD'!$B13,'Entrada TD'!G$8:G$43)</f>
        <v>443534739.91159087</v>
      </c>
      <c r="E13" s="43">
        <f>SUMIF('Entrada TD'!$E$8:$E$43,'Reliquidación TD'!$B13,'Entrada TD'!H$8:H$43)</f>
        <v>5446913.2929999996</v>
      </c>
      <c r="F13" s="43">
        <f>SUMIF('Entrada TD'!$E$8:$E$43,'Reliquidación TD'!$B13,'Entrada TD'!I$8:I$43)</f>
        <v>1602973.736</v>
      </c>
      <c r="G13" s="43">
        <f>SUMIF('Entrada TD'!$E$8:$E$43,'Reliquidación TD'!$B13,'Entrada TD'!J$8:J$43)</f>
        <v>-1609843.0253971571</v>
      </c>
      <c r="H13" s="43">
        <v>0</v>
      </c>
      <c r="I13" s="43">
        <f t="shared" si="0"/>
        <v>0</v>
      </c>
      <c r="J13" s="43">
        <v>0</v>
      </c>
      <c r="K13" s="43">
        <f t="shared" si="3"/>
        <v>0</v>
      </c>
      <c r="L13" s="43">
        <f t="shared" si="4"/>
        <v>-1609843.0253971571</v>
      </c>
      <c r="M13" s="43">
        <f t="shared" si="5"/>
        <v>1609843.0253971571</v>
      </c>
      <c r="N13" s="43">
        <f t="shared" si="6"/>
        <v>0</v>
      </c>
      <c r="O13" s="43">
        <f t="shared" si="1"/>
        <v>1062064.4485827079</v>
      </c>
      <c r="P13" s="43">
        <f t="shared" si="2"/>
        <v>-547778.57681444916</v>
      </c>
    </row>
    <row r="14" spans="2:18" x14ac:dyDescent="0.2">
      <c r="B14" s="42" t="s">
        <v>20</v>
      </c>
      <c r="C14" s="43">
        <f>SUMIF('Entrada TD'!$E$8:$E$43,'Reliquidación TD'!$B14,'Entrada TD'!F$8:F$43)</f>
        <v>47106.500999999997</v>
      </c>
      <c r="D14" s="43">
        <f>SUMIF('Entrada TD'!$E$8:$E$43,'Reliquidación TD'!$B14,'Entrada TD'!G$8:G$43)</f>
        <v>905866.74800000002</v>
      </c>
      <c r="E14" s="43">
        <f>SUMIF('Entrada TD'!$E$8:$E$43,'Reliquidación TD'!$B14,'Entrada TD'!H$8:H$43)</f>
        <v>0</v>
      </c>
      <c r="F14" s="43">
        <f>SUMIF('Entrada TD'!$E$8:$E$43,'Reliquidación TD'!$B14,'Entrada TD'!I$8:I$43)</f>
        <v>0</v>
      </c>
      <c r="G14" s="43">
        <f>SUMIF('Entrada TD'!$E$8:$E$43,'Reliquidación TD'!$B14,'Entrada TD'!J$8:J$43)</f>
        <v>0</v>
      </c>
      <c r="H14" s="43">
        <v>0</v>
      </c>
      <c r="I14" s="43">
        <f>H14*($I$4+1)</f>
        <v>0</v>
      </c>
      <c r="J14" s="43">
        <v>0</v>
      </c>
      <c r="K14" s="43">
        <f t="shared" si="3"/>
        <v>0</v>
      </c>
      <c r="L14" s="43">
        <f t="shared" si="4"/>
        <v>0</v>
      </c>
      <c r="M14" s="43">
        <f t="shared" si="5"/>
        <v>0</v>
      </c>
      <c r="N14" s="43">
        <f t="shared" si="6"/>
        <v>0</v>
      </c>
      <c r="O14" s="43">
        <f t="shared" si="1"/>
        <v>0</v>
      </c>
      <c r="P14" s="43">
        <f t="shared" si="2"/>
        <v>0</v>
      </c>
    </row>
    <row r="15" spans="2:18" x14ac:dyDescent="0.2">
      <c r="B15" s="42" t="s">
        <v>21</v>
      </c>
      <c r="C15" s="43">
        <f>SUMIF('Entrada TD'!$E$8:$E$43,'Reliquidación TD'!$B15,'Entrada TD'!F$8:F$43)</f>
        <v>11974026.299000001</v>
      </c>
      <c r="D15" s="43">
        <f>SUMIF('Entrada TD'!$E$8:$E$43,'Reliquidación TD'!$B15,'Entrada TD'!G$8:G$43)</f>
        <v>19645721.359000001</v>
      </c>
      <c r="E15" s="43">
        <f>SUMIF('Entrada TD'!$E$8:$E$43,'Reliquidación TD'!$B15,'Entrada TD'!H$8:H$43)</f>
        <v>272085.80099999998</v>
      </c>
      <c r="F15" s="43">
        <f>SUMIF('Entrada TD'!$E$8:$E$43,'Reliquidación TD'!$B15,'Entrada TD'!I$8:I$43)</f>
        <v>81469.142000000007</v>
      </c>
      <c r="G15" s="43">
        <f>SUMIF('Entrada TD'!$E$8:$E$43,'Reliquidación TD'!$B15,'Entrada TD'!J$8:J$43)</f>
        <v>55120.32769908481</v>
      </c>
      <c r="H15" s="43">
        <v>0</v>
      </c>
      <c r="I15" s="43">
        <f t="shared" si="0"/>
        <v>0</v>
      </c>
      <c r="J15" s="43">
        <v>0</v>
      </c>
      <c r="K15" s="43">
        <f t="shared" si="3"/>
        <v>0</v>
      </c>
      <c r="L15" s="43">
        <f t="shared" si="4"/>
        <v>55120.32769908481</v>
      </c>
      <c r="M15" s="43">
        <f t="shared" si="5"/>
        <v>0</v>
      </c>
      <c r="N15" s="43">
        <f t="shared" si="6"/>
        <v>55120.32769908481</v>
      </c>
      <c r="O15" s="43">
        <f t="shared" si="1"/>
        <v>-55120.327699084817</v>
      </c>
      <c r="P15" s="43">
        <f t="shared" si="2"/>
        <v>0</v>
      </c>
    </row>
    <row r="16" spans="2:18" x14ac:dyDescent="0.2">
      <c r="B16" s="42" t="s">
        <v>22</v>
      </c>
      <c r="C16" s="43">
        <f>SUMIF('Entrada TD'!$E$8:$E$43,'Reliquidación TD'!$B16,'Entrada TD'!F$8:F$43)</f>
        <v>0</v>
      </c>
      <c r="D16" s="43">
        <f>SUMIF('Entrada TD'!$E$8:$E$43,'Reliquidación TD'!$B16,'Entrada TD'!G$8:G$43)</f>
        <v>0</v>
      </c>
      <c r="E16" s="43">
        <f>SUMIF('Entrada TD'!$E$8:$E$43,'Reliquidación TD'!$B16,'Entrada TD'!H$8:H$43)</f>
        <v>0</v>
      </c>
      <c r="F16" s="43">
        <f>SUMIF('Entrada TD'!$E$8:$E$43,'Reliquidación TD'!$B16,'Entrada TD'!I$8:I$43)</f>
        <v>0</v>
      </c>
      <c r="G16" s="43">
        <f>SUMIF('Entrada TD'!$E$8:$E$43,'Reliquidación TD'!$B16,'Entrada TD'!J$8:J$43)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3"/>
        <v>0</v>
      </c>
      <c r="L16" s="43">
        <f t="shared" si="4"/>
        <v>0</v>
      </c>
      <c r="M16" s="43">
        <f t="shared" si="5"/>
        <v>0</v>
      </c>
      <c r="N16" s="43">
        <f t="shared" si="6"/>
        <v>0</v>
      </c>
      <c r="O16" s="43">
        <f t="shared" si="1"/>
        <v>0</v>
      </c>
      <c r="P16" s="43">
        <f t="shared" si="2"/>
        <v>0</v>
      </c>
    </row>
    <row r="17" spans="2:16" x14ac:dyDescent="0.2">
      <c r="B17" s="42" t="s">
        <v>23</v>
      </c>
      <c r="C17" s="43">
        <f>SUMIF('Entrada TD'!$E$8:$E$43,'Reliquidación TD'!$B17,'Entrada TD'!F$8:F$43)</f>
        <v>0</v>
      </c>
      <c r="D17" s="43">
        <f>SUMIF('Entrada TD'!$E$8:$E$43,'Reliquidación TD'!$B17,'Entrada TD'!G$8:G$43)</f>
        <v>0</v>
      </c>
      <c r="E17" s="43">
        <f>SUMIF('Entrada TD'!$E$8:$E$43,'Reliquidación TD'!$B17,'Entrada TD'!H$8:H$43)</f>
        <v>0</v>
      </c>
      <c r="F17" s="43">
        <f>SUMIF('Entrada TD'!$E$8:$E$43,'Reliquidación TD'!$B17,'Entrada TD'!I$8:I$43)</f>
        <v>0</v>
      </c>
      <c r="G17" s="43">
        <f>SUMIF('Entrada TD'!$E$8:$E$43,'Reliquidación TD'!$B17,'Entrada TD'!J$8:J$43)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3"/>
        <v>0</v>
      </c>
      <c r="L17" s="43">
        <f t="shared" si="4"/>
        <v>0</v>
      </c>
      <c r="M17" s="43">
        <f t="shared" si="5"/>
        <v>0</v>
      </c>
      <c r="N17" s="43">
        <f t="shared" si="6"/>
        <v>0</v>
      </c>
      <c r="O17" s="43">
        <f t="shared" si="1"/>
        <v>0</v>
      </c>
      <c r="P17" s="43">
        <f t="shared" si="2"/>
        <v>0</v>
      </c>
    </row>
    <row r="18" spans="2:16" x14ac:dyDescent="0.2">
      <c r="B18" s="42" t="s">
        <v>24</v>
      </c>
      <c r="C18" s="43">
        <f>SUMIF('Entrada TD'!$E$8:$E$43,'Reliquidación TD'!$B18,'Entrada TD'!F$8:F$43)+SUMIF('Entrada TD'!$E$8:$E$43,"LUZ ANDES",'Entrada TD'!F$8:F$43)</f>
        <v>99737508.738999993</v>
      </c>
      <c r="D18" s="43">
        <f>SUMIF('Entrada TD'!$E$8:$E$43,'Reliquidación TD'!$B18,'Entrada TD'!G$8:G$43)+SUMIF('Entrada TD'!$E$8:$E$43,"LUZ ANDES",'Entrada TD'!G$8:G$43)</f>
        <v>579636193.58700001</v>
      </c>
      <c r="E18" s="43">
        <f>SUMIF('Entrada TD'!$E$8:$E$43,'Reliquidación TD'!$B18,'Entrada TD'!H$8:H$43)+SUMIF('Entrada TD'!$E$8:$E$43,"LUZ ANDES",'Entrada TD'!H$8:H$43)</f>
        <v>535261</v>
      </c>
      <c r="F18" s="43">
        <f>SUMIF('Entrada TD'!$E$8:$E$43,'Reliquidación TD'!$B18,'Entrada TD'!I$8:I$43)+SUMIF('Entrada TD'!$E$8:$E$43,"LUZ ANDES",'Entrada TD'!I$8:I$43)</f>
        <v>1279747.5719999999</v>
      </c>
      <c r="G18" s="43">
        <f>SUMIF('Entrada TD'!$E$8:$E$43,'Reliquidación TD'!$B18,'Entrada TD'!J$8:J$43)+SUMIF('Entrada TD'!$E$8:$E$43,"LUZ ANDES",'Entrada TD'!J$8:J$43)</f>
        <v>1432983.8746457689</v>
      </c>
      <c r="H18" s="43">
        <v>0</v>
      </c>
      <c r="I18" s="43">
        <f t="shared" si="0"/>
        <v>0</v>
      </c>
      <c r="J18" s="43">
        <v>0</v>
      </c>
      <c r="K18" s="43">
        <f t="shared" si="3"/>
        <v>0</v>
      </c>
      <c r="L18" s="43">
        <f t="shared" si="4"/>
        <v>1432983.8746457689</v>
      </c>
      <c r="M18" s="43">
        <f t="shared" si="5"/>
        <v>0</v>
      </c>
      <c r="N18" s="43">
        <f t="shared" si="6"/>
        <v>1432983.8746457689</v>
      </c>
      <c r="O18" s="43">
        <f t="shared" si="1"/>
        <v>-1432983.8746457689</v>
      </c>
      <c r="P18" s="43">
        <f t="shared" si="2"/>
        <v>0</v>
      </c>
    </row>
    <row r="19" spans="2:16" x14ac:dyDescent="0.2">
      <c r="B19" s="42" t="s">
        <v>26</v>
      </c>
      <c r="C19" s="43">
        <f>SUMIF('Entrada TD'!$E$8:$E$43,'Reliquidación TD'!$B19,'Entrada TD'!F$8:F$43)</f>
        <v>36115044.516000003</v>
      </c>
      <c r="D19" s="43">
        <f>SUMIF('Entrada TD'!$E$8:$E$43,'Reliquidación TD'!$B19,'Entrada TD'!G$8:G$43)</f>
        <v>67120981.821999997</v>
      </c>
      <c r="E19" s="43">
        <f>SUMIF('Entrada TD'!$E$8:$E$43,'Reliquidación TD'!$B19,'Entrada TD'!H$8:H$43)</f>
        <v>1245663.814</v>
      </c>
      <c r="F19" s="43">
        <f>SUMIF('Entrada TD'!$E$8:$E$43,'Reliquidación TD'!$B19,'Entrada TD'!I$8:I$43)</f>
        <v>157017.12599999999</v>
      </c>
      <c r="G19" s="43">
        <f>SUMIF('Entrada TD'!$E$8:$E$43,'Reliquidación TD'!$B19,'Entrada TD'!J$8:J$43)</f>
        <v>-111905.15658653781</v>
      </c>
      <c r="H19" s="43">
        <v>0</v>
      </c>
      <c r="I19" s="43">
        <f t="shared" si="0"/>
        <v>0</v>
      </c>
      <c r="J19" s="43">
        <v>0</v>
      </c>
      <c r="K19" s="43">
        <f t="shared" si="3"/>
        <v>0</v>
      </c>
      <c r="L19" s="43">
        <f t="shared" si="4"/>
        <v>-111905.15658653781</v>
      </c>
      <c r="M19" s="43">
        <f t="shared" si="5"/>
        <v>111905.15658653781</v>
      </c>
      <c r="N19" s="43">
        <f t="shared" si="6"/>
        <v>0</v>
      </c>
      <c r="O19" s="43">
        <f t="shared" si="1"/>
        <v>73827.377296194318</v>
      </c>
      <c r="P19" s="43">
        <f t="shared" si="2"/>
        <v>-38077.779290343489</v>
      </c>
    </row>
    <row r="20" spans="2:16" x14ac:dyDescent="0.2">
      <c r="B20" s="42" t="s">
        <v>27</v>
      </c>
      <c r="C20" s="43">
        <f>SUMIF('Entrada TD'!$E$8:$E$43,'Reliquidación TD'!$B20,'Entrada TD'!F$8:F$43)</f>
        <v>3546002.7880000002</v>
      </c>
      <c r="D20" s="43">
        <f>SUMIF('Entrada TD'!$E$8:$E$43,'Reliquidación TD'!$B20,'Entrada TD'!G$8:G$43)</f>
        <v>17843777.791000001</v>
      </c>
      <c r="E20" s="43">
        <f>SUMIF('Entrada TD'!$E$8:$E$43,'Reliquidación TD'!$B20,'Entrada TD'!H$8:H$43)</f>
        <v>0</v>
      </c>
      <c r="F20" s="43">
        <f>SUMIF('Entrada TD'!$E$8:$E$43,'Reliquidación TD'!$B20,'Entrada TD'!I$8:I$43)</f>
        <v>23027.304</v>
      </c>
      <c r="G20" s="43">
        <f>SUMIF('Entrada TD'!$E$8:$E$43,'Reliquidación TD'!$B20,'Entrada TD'!J$8:J$43)</f>
        <v>19647.009524499881</v>
      </c>
      <c r="H20" s="43">
        <v>0</v>
      </c>
      <c r="I20" s="43">
        <f t="shared" si="0"/>
        <v>0</v>
      </c>
      <c r="J20" s="43">
        <v>0</v>
      </c>
      <c r="K20" s="43">
        <f t="shared" si="3"/>
        <v>0</v>
      </c>
      <c r="L20" s="43">
        <f t="shared" si="4"/>
        <v>19647.009524499881</v>
      </c>
      <c r="M20" s="43">
        <f t="shared" si="5"/>
        <v>0</v>
      </c>
      <c r="N20" s="43">
        <f t="shared" si="6"/>
        <v>19647.009524499881</v>
      </c>
      <c r="O20" s="43">
        <f t="shared" si="1"/>
        <v>-19647.009524499881</v>
      </c>
      <c r="P20" s="43">
        <f t="shared" si="2"/>
        <v>0</v>
      </c>
    </row>
    <row r="21" spans="2:16" x14ac:dyDescent="0.2">
      <c r="B21" s="42" t="s">
        <v>28</v>
      </c>
      <c r="C21" s="43">
        <f>SUMIF('Entrada TD'!$E$8:$E$43,'Reliquidación TD'!$B21,'Entrada TD'!F$8:F$43)</f>
        <v>0</v>
      </c>
      <c r="D21" s="43">
        <f>SUMIF('Entrada TD'!$E$8:$E$43,'Reliquidación TD'!$B21,'Entrada TD'!G$8:G$43)</f>
        <v>0</v>
      </c>
      <c r="E21" s="43">
        <f>SUMIF('Entrada TD'!$E$8:$E$43,'Reliquidación TD'!$B21,'Entrada TD'!H$8:H$43)</f>
        <v>0</v>
      </c>
      <c r="F21" s="43">
        <f>SUMIF('Entrada TD'!$E$8:$E$43,'Reliquidación TD'!$B21,'Entrada TD'!I$8:I$43)</f>
        <v>0</v>
      </c>
      <c r="G21" s="43">
        <f>SUMIF('Entrada TD'!$E$8:$E$43,'Reliquidación TD'!$B21,'Entrada TD'!J$8:J$43)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3"/>
        <v>0</v>
      </c>
      <c r="L21" s="43">
        <f t="shared" si="4"/>
        <v>0</v>
      </c>
      <c r="M21" s="43">
        <f t="shared" si="5"/>
        <v>0</v>
      </c>
      <c r="N21" s="43">
        <f t="shared" si="6"/>
        <v>0</v>
      </c>
      <c r="O21" s="43">
        <f t="shared" si="1"/>
        <v>0</v>
      </c>
      <c r="P21" s="43">
        <f t="shared" si="2"/>
        <v>0</v>
      </c>
    </row>
    <row r="22" spans="2:16" x14ac:dyDescent="0.2">
      <c r="B22" s="42" t="s">
        <v>29</v>
      </c>
      <c r="C22" s="43">
        <f>SUMIF('Entrada TD'!$E$8:$E$43,'Reliquidación TD'!$B22,'Entrada TD'!F$8:F$43)</f>
        <v>1340082</v>
      </c>
      <c r="D22" s="43">
        <f>SUMIF('Entrada TD'!$E$8:$E$43,'Reliquidación TD'!$B22,'Entrada TD'!G$8:G$43)</f>
        <v>7838468</v>
      </c>
      <c r="E22" s="43">
        <f>SUMIF('Entrada TD'!$E$8:$E$43,'Reliquidación TD'!$B22,'Entrada TD'!H$8:H$43)</f>
        <v>739</v>
      </c>
      <c r="F22" s="43">
        <f>SUMIF('Entrada TD'!$E$8:$E$43,'Reliquidación TD'!$B22,'Entrada TD'!I$8:I$43)</f>
        <v>19826</v>
      </c>
      <c r="G22" s="43">
        <f>SUMIF('Entrada TD'!$E$8:$E$43,'Reliquidación TD'!$B22,'Entrada TD'!J$8:J$43)</f>
        <v>0</v>
      </c>
      <c r="H22" s="43">
        <v>0</v>
      </c>
      <c r="I22" s="43">
        <f t="shared" si="0"/>
        <v>0</v>
      </c>
      <c r="J22" s="43">
        <v>0</v>
      </c>
      <c r="K22" s="43">
        <f t="shared" si="3"/>
        <v>0</v>
      </c>
      <c r="L22" s="43">
        <f t="shared" si="4"/>
        <v>0</v>
      </c>
      <c r="M22" s="43">
        <f t="shared" si="5"/>
        <v>0</v>
      </c>
      <c r="N22" s="43">
        <f t="shared" si="6"/>
        <v>0</v>
      </c>
      <c r="O22" s="43">
        <f t="shared" si="1"/>
        <v>0</v>
      </c>
      <c r="P22" s="43">
        <f t="shared" si="2"/>
        <v>0</v>
      </c>
    </row>
    <row r="23" spans="2:16" x14ac:dyDescent="0.2">
      <c r="B23" s="42" t="s">
        <v>30</v>
      </c>
      <c r="C23" s="43">
        <f>SUMIF('Entrada TD'!$E$8:$E$43,'Reliquidación TD'!$B23,'Entrada TD'!F$8:F$43)</f>
        <v>6403665</v>
      </c>
      <c r="D23" s="43">
        <f>SUMIF('Entrada TD'!$E$8:$E$43,'Reliquidación TD'!$B23,'Entrada TD'!G$8:G$43)</f>
        <v>12660966</v>
      </c>
      <c r="E23" s="43">
        <f>SUMIF('Entrada TD'!$E$8:$E$43,'Reliquidación TD'!$B23,'Entrada TD'!H$8:H$43)</f>
        <v>536317</v>
      </c>
      <c r="F23" s="43">
        <f>SUMIF('Entrada TD'!$E$8:$E$43,'Reliquidación TD'!$B23,'Entrada TD'!I$8:I$43)</f>
        <v>135868</v>
      </c>
      <c r="G23" s="43">
        <f>SUMIF('Entrada TD'!$E$8:$E$43,'Reliquidación TD'!$B23,'Entrada TD'!J$8:J$43)</f>
        <v>0</v>
      </c>
      <c r="H23" s="43">
        <v>0</v>
      </c>
      <c r="I23" s="43">
        <f t="shared" si="0"/>
        <v>0</v>
      </c>
      <c r="J23" s="43">
        <v>0</v>
      </c>
      <c r="K23" s="43">
        <f t="shared" si="3"/>
        <v>0</v>
      </c>
      <c r="L23" s="43">
        <f t="shared" si="4"/>
        <v>0</v>
      </c>
      <c r="M23" s="43">
        <f t="shared" si="5"/>
        <v>0</v>
      </c>
      <c r="N23" s="43">
        <f t="shared" si="6"/>
        <v>0</v>
      </c>
      <c r="O23" s="43">
        <f t="shared" si="1"/>
        <v>0</v>
      </c>
      <c r="P23" s="43">
        <f t="shared" si="2"/>
        <v>0</v>
      </c>
    </row>
    <row r="24" spans="2:16" x14ac:dyDescent="0.2">
      <c r="B24" s="42" t="s">
        <v>31</v>
      </c>
      <c r="C24" s="43">
        <f>SUMIF('Entrada TD'!$E$8:$E$43,'Reliquidación TD'!$B24,'Entrada TD'!F$8:F$43)</f>
        <v>1672175</v>
      </c>
      <c r="D24" s="43">
        <f>SUMIF('Entrada TD'!$E$8:$E$43,'Reliquidación TD'!$B24,'Entrada TD'!G$8:G$43)</f>
        <v>13546908</v>
      </c>
      <c r="E24" s="43">
        <f>SUMIF('Entrada TD'!$E$8:$E$43,'Reliquidación TD'!$B24,'Entrada TD'!H$8:H$43)</f>
        <v>234</v>
      </c>
      <c r="F24" s="43">
        <f>SUMIF('Entrada TD'!$E$8:$E$43,'Reliquidación TD'!$B24,'Entrada TD'!I$8:I$43)</f>
        <v>85701</v>
      </c>
      <c r="G24" s="43">
        <f>SUMIF('Entrada TD'!$E$8:$E$43,'Reliquidación TD'!$B24,'Entrada TD'!J$8:J$43)</f>
        <v>0</v>
      </c>
      <c r="H24" s="43">
        <v>0</v>
      </c>
      <c r="I24" s="43">
        <f t="shared" si="0"/>
        <v>0</v>
      </c>
      <c r="J24" s="43">
        <v>0</v>
      </c>
      <c r="K24" s="43">
        <f t="shared" si="3"/>
        <v>0</v>
      </c>
      <c r="L24" s="43">
        <f t="shared" si="4"/>
        <v>0</v>
      </c>
      <c r="M24" s="43">
        <f t="shared" si="5"/>
        <v>0</v>
      </c>
      <c r="N24" s="43">
        <f t="shared" si="6"/>
        <v>0</v>
      </c>
      <c r="O24" s="43">
        <f t="shared" si="1"/>
        <v>0</v>
      </c>
      <c r="P24" s="43">
        <f t="shared" si="2"/>
        <v>0</v>
      </c>
    </row>
    <row r="25" spans="2:16" x14ac:dyDescent="0.2">
      <c r="B25" s="42" t="s">
        <v>32</v>
      </c>
      <c r="C25" s="43">
        <f>SUMIF('Entrada TD'!$E$8:$E$43,'Reliquidación TD'!$B25,'Entrada TD'!F$8:F$43)</f>
        <v>415252</v>
      </c>
      <c r="D25" s="43">
        <f>SUMIF('Entrada TD'!$E$8:$E$43,'Reliquidación TD'!$B25,'Entrada TD'!G$8:G$43)</f>
        <v>2739791</v>
      </c>
      <c r="E25" s="43">
        <f>SUMIF('Entrada TD'!$E$8:$E$43,'Reliquidación TD'!$B25,'Entrada TD'!H$8:H$43)</f>
        <v>165044</v>
      </c>
      <c r="F25" s="43">
        <f>SUMIF('Entrada TD'!$E$8:$E$43,'Reliquidación TD'!$B25,'Entrada TD'!I$8:I$43)</f>
        <v>46882</v>
      </c>
      <c r="G25" s="43">
        <f>SUMIF('Entrada TD'!$E$8:$E$43,'Reliquidación TD'!$B25,'Entrada TD'!J$8:J$43)</f>
        <v>0</v>
      </c>
      <c r="H25" s="43">
        <v>0</v>
      </c>
      <c r="I25" s="43">
        <f t="shared" si="0"/>
        <v>0</v>
      </c>
      <c r="J25" s="43">
        <v>0</v>
      </c>
      <c r="K25" s="43">
        <f t="shared" si="3"/>
        <v>0</v>
      </c>
      <c r="L25" s="43">
        <f t="shared" si="4"/>
        <v>0</v>
      </c>
      <c r="M25" s="43">
        <f t="shared" si="5"/>
        <v>0</v>
      </c>
      <c r="N25" s="43">
        <f t="shared" si="6"/>
        <v>0</v>
      </c>
      <c r="O25" s="43">
        <f t="shared" si="1"/>
        <v>0</v>
      </c>
      <c r="P25" s="43">
        <f t="shared" si="2"/>
        <v>0</v>
      </c>
    </row>
    <row r="26" spans="2:16" x14ac:dyDescent="0.2">
      <c r="B26" s="42" t="s">
        <v>33</v>
      </c>
      <c r="C26" s="43">
        <f>SUMIF('Entrada TD'!$E$8:$E$43,'Reliquidación TD'!$B26,'Entrada TD'!F$8:F$43)</f>
        <v>1101853</v>
      </c>
      <c r="D26" s="43">
        <f>SUMIF('Entrada TD'!$E$8:$E$43,'Reliquidación TD'!$B26,'Entrada TD'!G$8:G$43)</f>
        <v>2017898</v>
      </c>
      <c r="E26" s="43">
        <f>SUMIF('Entrada TD'!$E$8:$E$43,'Reliquidación TD'!$B26,'Entrada TD'!H$8:H$43)</f>
        <v>110826</v>
      </c>
      <c r="F26" s="43">
        <f>SUMIF('Entrada TD'!$E$8:$E$43,'Reliquidación TD'!$B26,'Entrada TD'!I$8:I$43)</f>
        <v>8430</v>
      </c>
      <c r="G26" s="43">
        <f>SUMIF('Entrada TD'!$E$8:$E$43,'Reliquidación TD'!$B26,'Entrada TD'!J$8:J$43)</f>
        <v>0</v>
      </c>
      <c r="H26" s="43">
        <v>0</v>
      </c>
      <c r="I26" s="43">
        <f t="shared" si="0"/>
        <v>0</v>
      </c>
      <c r="J26" s="43">
        <v>0</v>
      </c>
      <c r="K26" s="43">
        <f t="shared" si="3"/>
        <v>0</v>
      </c>
      <c r="L26" s="43">
        <f t="shared" si="4"/>
        <v>0</v>
      </c>
      <c r="M26" s="43">
        <f t="shared" si="5"/>
        <v>0</v>
      </c>
      <c r="N26" s="43">
        <f t="shared" si="6"/>
        <v>0</v>
      </c>
      <c r="O26" s="43">
        <f t="shared" si="1"/>
        <v>0</v>
      </c>
      <c r="P26" s="43">
        <f t="shared" si="2"/>
        <v>0</v>
      </c>
    </row>
    <row r="27" spans="2:16" x14ac:dyDescent="0.2">
      <c r="B27" s="42" t="s">
        <v>34</v>
      </c>
      <c r="C27" s="43">
        <f>SUMIF('Entrada TD'!$E$8:$E$43,'Reliquidación TD'!$B27,'Entrada TD'!F$8:F$43)</f>
        <v>1776419</v>
      </c>
      <c r="D27" s="43">
        <f>SUMIF('Entrada TD'!$E$8:$E$43,'Reliquidación TD'!$B27,'Entrada TD'!G$8:G$43)</f>
        <v>5939205</v>
      </c>
      <c r="E27" s="43">
        <f>SUMIF('Entrada TD'!$E$8:$E$43,'Reliquidación TD'!$B27,'Entrada TD'!H$8:H$43)</f>
        <v>400445</v>
      </c>
      <c r="F27" s="43">
        <f>SUMIF('Entrada TD'!$E$8:$E$43,'Reliquidación TD'!$B27,'Entrada TD'!I$8:I$43)</f>
        <v>98438</v>
      </c>
      <c r="G27" s="43">
        <f>SUMIF('Entrada TD'!$E$8:$E$43,'Reliquidación TD'!$B27,'Entrada TD'!J$8:J$43)</f>
        <v>0</v>
      </c>
      <c r="H27" s="43">
        <v>0</v>
      </c>
      <c r="I27" s="43">
        <f t="shared" si="0"/>
        <v>0</v>
      </c>
      <c r="J27" s="43">
        <v>0</v>
      </c>
      <c r="K27" s="43">
        <f t="shared" si="3"/>
        <v>0</v>
      </c>
      <c r="L27" s="43">
        <f t="shared" si="4"/>
        <v>0</v>
      </c>
      <c r="M27" s="43">
        <f t="shared" si="5"/>
        <v>0</v>
      </c>
      <c r="N27" s="43">
        <f t="shared" si="6"/>
        <v>0</v>
      </c>
      <c r="O27" s="43">
        <f t="shared" si="1"/>
        <v>0</v>
      </c>
      <c r="P27" s="43">
        <f t="shared" si="2"/>
        <v>0</v>
      </c>
    </row>
    <row r="28" spans="2:16" x14ac:dyDescent="0.2">
      <c r="B28" s="42" t="s">
        <v>35</v>
      </c>
      <c r="C28" s="43">
        <f>SUMIF('Entrada TD'!$E$8:$E$43,'Reliquidación TD'!$B28,'Entrada TD'!F$8:F$43)</f>
        <v>18146722.66</v>
      </c>
      <c r="D28" s="43">
        <f>SUMIF('Entrada TD'!$E$8:$E$43,'Reliquidación TD'!$B28,'Entrada TD'!G$8:G$43)</f>
        <v>65344272.25</v>
      </c>
      <c r="E28" s="43">
        <f>SUMIF('Entrada TD'!$E$8:$E$43,'Reliquidación TD'!$B28,'Entrada TD'!H$8:H$43)</f>
        <v>283367.23</v>
      </c>
      <c r="F28" s="43">
        <f>SUMIF('Entrada TD'!$E$8:$E$43,'Reliquidación TD'!$B28,'Entrada TD'!I$8:I$43)</f>
        <v>110007.8</v>
      </c>
      <c r="G28" s="43">
        <f>SUMIF('Entrada TD'!$E$8:$E$43,'Reliquidación TD'!$B28,'Entrada TD'!J$8:J$43)</f>
        <v>0</v>
      </c>
      <c r="H28" s="43">
        <v>0</v>
      </c>
      <c r="I28" s="43">
        <f t="shared" si="0"/>
        <v>0</v>
      </c>
      <c r="J28" s="43">
        <v>0</v>
      </c>
      <c r="K28" s="43">
        <f t="shared" si="3"/>
        <v>0</v>
      </c>
      <c r="L28" s="43">
        <f t="shared" si="4"/>
        <v>0</v>
      </c>
      <c r="M28" s="43">
        <f t="shared" si="5"/>
        <v>0</v>
      </c>
      <c r="N28" s="43">
        <f t="shared" si="6"/>
        <v>0</v>
      </c>
      <c r="O28" s="43">
        <f t="shared" si="1"/>
        <v>0</v>
      </c>
      <c r="P28" s="43">
        <f t="shared" si="2"/>
        <v>0</v>
      </c>
    </row>
    <row r="29" spans="2:16" x14ac:dyDescent="0.2">
      <c r="B29" s="42" t="s">
        <v>36</v>
      </c>
      <c r="C29" s="43">
        <f>SUMIF('Entrada TD'!$E$8:$E$43,'Reliquidación TD'!$B29,'Entrada TD'!F$8:F$43)</f>
        <v>7623977.3300000001</v>
      </c>
      <c r="D29" s="43">
        <f>SUMIF('Entrada TD'!$E$8:$E$43,'Reliquidación TD'!$B29,'Entrada TD'!G$8:G$43)</f>
        <v>6686820.3399999999</v>
      </c>
      <c r="E29" s="43">
        <f>SUMIF('Entrada TD'!$E$8:$E$43,'Reliquidación TD'!$B29,'Entrada TD'!H$8:H$43)</f>
        <v>128632</v>
      </c>
      <c r="F29" s="43">
        <f>SUMIF('Entrada TD'!$E$8:$E$43,'Reliquidación TD'!$B29,'Entrada TD'!I$8:I$43)</f>
        <v>6261</v>
      </c>
      <c r="G29" s="43">
        <f>SUMIF('Entrada TD'!$E$8:$E$43,'Reliquidación TD'!$B29,'Entrada TD'!J$8:J$43)</f>
        <v>-1545.0466544460439</v>
      </c>
      <c r="H29" s="43">
        <v>0</v>
      </c>
      <c r="I29" s="43">
        <f t="shared" si="0"/>
        <v>0</v>
      </c>
      <c r="J29" s="43">
        <v>0</v>
      </c>
      <c r="K29" s="43">
        <f t="shared" si="3"/>
        <v>0</v>
      </c>
      <c r="L29" s="43">
        <f t="shared" si="4"/>
        <v>-1545.0466544460439</v>
      </c>
      <c r="M29" s="43">
        <f t="shared" si="5"/>
        <v>1545.0466544460439</v>
      </c>
      <c r="N29" s="43">
        <f t="shared" si="6"/>
        <v>0</v>
      </c>
      <c r="O29" s="43">
        <f t="shared" si="1"/>
        <v>1019.3162297199545</v>
      </c>
      <c r="P29" s="43">
        <f t="shared" si="2"/>
        <v>-525.73042472608938</v>
      </c>
    </row>
    <row r="30" spans="2:16" x14ac:dyDescent="0.2">
      <c r="B30" s="42" t="s">
        <v>37</v>
      </c>
      <c r="C30" s="43">
        <f>SUMIF('Entrada TD'!$E$8:$E$43,'Reliquidación TD'!$B30,'Entrada TD'!F$8:F$43)</f>
        <v>39086898.990000002</v>
      </c>
      <c r="D30" s="43">
        <f>SUMIF('Entrada TD'!$E$8:$E$43,'Reliquidación TD'!$B30,'Entrada TD'!G$8:G$43)</f>
        <v>116325295.42</v>
      </c>
      <c r="E30" s="43">
        <f>SUMIF('Entrada TD'!$E$8:$E$43,'Reliquidación TD'!$B30,'Entrada TD'!H$8:H$43)</f>
        <v>139457.94</v>
      </c>
      <c r="F30" s="43">
        <f>SUMIF('Entrada TD'!$E$8:$E$43,'Reliquidación TD'!$B30,'Entrada TD'!I$8:I$43)</f>
        <v>133164.53</v>
      </c>
      <c r="G30" s="43">
        <f>SUMIF('Entrada TD'!$E$8:$E$43,'Reliquidación TD'!$B30,'Entrada TD'!J$8:J$43)</f>
        <v>0</v>
      </c>
      <c r="H30" s="43">
        <v>0</v>
      </c>
      <c r="I30" s="43">
        <f t="shared" si="0"/>
        <v>0</v>
      </c>
      <c r="J30" s="43">
        <v>0</v>
      </c>
      <c r="K30" s="43">
        <f t="shared" si="3"/>
        <v>0</v>
      </c>
      <c r="L30" s="43">
        <f t="shared" si="4"/>
        <v>0</v>
      </c>
      <c r="M30" s="43">
        <f t="shared" si="5"/>
        <v>0</v>
      </c>
      <c r="N30" s="43">
        <f t="shared" si="6"/>
        <v>0</v>
      </c>
      <c r="O30" s="43">
        <f t="shared" si="1"/>
        <v>0</v>
      </c>
      <c r="P30" s="43">
        <f t="shared" si="2"/>
        <v>0</v>
      </c>
    </row>
    <row r="31" spans="2:16" x14ac:dyDescent="0.2">
      <c r="B31" s="42" t="s">
        <v>38</v>
      </c>
      <c r="C31" s="43">
        <f>SUMIF('Entrada TD'!$E$8:$E$43,'Reliquidación TD'!$B31,'Entrada TD'!F$8:F$43)</f>
        <v>1783537</v>
      </c>
      <c r="D31" s="43">
        <f>SUMIF('Entrada TD'!$E$8:$E$43,'Reliquidación TD'!$B31,'Entrada TD'!G$8:G$43)</f>
        <v>2968035</v>
      </c>
      <c r="E31" s="43">
        <f>SUMIF('Entrada TD'!$E$8:$E$43,'Reliquidación TD'!$B31,'Entrada TD'!H$8:H$43)</f>
        <v>51969</v>
      </c>
      <c r="F31" s="43">
        <f>SUMIF('Entrada TD'!$E$8:$E$43,'Reliquidación TD'!$B31,'Entrada TD'!I$8:I$43)</f>
        <v>12553</v>
      </c>
      <c r="G31" s="43">
        <f>SUMIF('Entrada TD'!$E$8:$E$43,'Reliquidación TD'!$B31,'Entrada TD'!J$8:J$43)</f>
        <v>0</v>
      </c>
      <c r="H31" s="43">
        <v>0</v>
      </c>
      <c r="I31" s="43">
        <f t="shared" si="0"/>
        <v>0</v>
      </c>
      <c r="J31" s="43">
        <v>0</v>
      </c>
      <c r="K31" s="43">
        <f t="shared" si="3"/>
        <v>0</v>
      </c>
      <c r="L31" s="43">
        <f t="shared" si="4"/>
        <v>0</v>
      </c>
      <c r="M31" s="43">
        <f t="shared" si="5"/>
        <v>0</v>
      </c>
      <c r="N31" s="43">
        <f t="shared" si="6"/>
        <v>0</v>
      </c>
      <c r="O31" s="43">
        <f t="shared" si="1"/>
        <v>0</v>
      </c>
      <c r="P31" s="43">
        <f t="shared" si="2"/>
        <v>0</v>
      </c>
    </row>
    <row r="32" spans="2:16" x14ac:dyDescent="0.2">
      <c r="B32" s="42" t="s">
        <v>39</v>
      </c>
      <c r="C32" s="43">
        <f>SUMIF('Entrada TD'!$E$8:$E$43,'Reliquidación TD'!$B32,'Entrada TD'!F$8:F$43)</f>
        <v>36273940.112099998</v>
      </c>
      <c r="D32" s="43">
        <f>SUMIF('Entrada TD'!$E$8:$E$43,'Reliquidación TD'!$B32,'Entrada TD'!G$8:G$43)</f>
        <v>128248876.10401</v>
      </c>
      <c r="E32" s="43">
        <f>SUMIF('Entrada TD'!$E$8:$E$43,'Reliquidación TD'!$B32,'Entrada TD'!H$8:H$43)</f>
        <v>2332269.7999999998</v>
      </c>
      <c r="F32" s="43">
        <f>SUMIF('Entrada TD'!$E$8:$E$43,'Reliquidación TD'!$B32,'Entrada TD'!I$8:I$43)</f>
        <v>716217</v>
      </c>
      <c r="G32" s="43">
        <f>SUMIF('Entrada TD'!$E$8:$E$43,'Reliquidación TD'!$B32,'Entrada TD'!J$8:J$43)</f>
        <v>70847.165606387978</v>
      </c>
      <c r="H32" s="43">
        <v>0</v>
      </c>
      <c r="I32" s="43">
        <f t="shared" si="0"/>
        <v>0</v>
      </c>
      <c r="J32" s="43">
        <v>0</v>
      </c>
      <c r="K32" s="43">
        <f t="shared" si="3"/>
        <v>0</v>
      </c>
      <c r="L32" s="43">
        <f t="shared" si="4"/>
        <v>70847.165606387978</v>
      </c>
      <c r="M32" s="43">
        <f t="shared" si="5"/>
        <v>0</v>
      </c>
      <c r="N32" s="43">
        <f t="shared" si="6"/>
        <v>70847.165606387978</v>
      </c>
      <c r="O32" s="43">
        <f t="shared" si="1"/>
        <v>-70847.165606387978</v>
      </c>
      <c r="P32" s="43">
        <f t="shared" si="2"/>
        <v>0</v>
      </c>
    </row>
    <row r="33" spans="2:16" x14ac:dyDescent="0.2">
      <c r="B33" s="42" t="s">
        <v>40</v>
      </c>
      <c r="C33" s="43">
        <f>SUMIF('Entrada TD'!$E$8:$E$43,'Reliquidación TD'!$B33,'Entrada TD'!F$8:F$43)</f>
        <v>1423339.4</v>
      </c>
      <c r="D33" s="43">
        <f>SUMIF('Entrada TD'!$E$8:$E$43,'Reliquidación TD'!$B33,'Entrada TD'!G$8:G$43)</f>
        <v>2691623.3</v>
      </c>
      <c r="E33" s="43">
        <f>SUMIF('Entrada TD'!$E$8:$E$43,'Reliquidación TD'!$B33,'Entrada TD'!H$8:H$43)</f>
        <v>50207</v>
      </c>
      <c r="F33" s="43">
        <f>SUMIF('Entrada TD'!$E$8:$E$43,'Reliquidación TD'!$B33,'Entrada TD'!I$8:I$43)</f>
        <v>95861</v>
      </c>
      <c r="G33" s="43">
        <f>SUMIF('Entrada TD'!$E$8:$E$43,'Reliquidación TD'!$B33,'Entrada TD'!J$8:J$43)</f>
        <v>935.0911379859358</v>
      </c>
      <c r="H33" s="43">
        <v>0</v>
      </c>
      <c r="I33" s="43">
        <f t="shared" si="0"/>
        <v>0</v>
      </c>
      <c r="J33" s="43">
        <v>0</v>
      </c>
      <c r="K33" s="43">
        <f t="shared" si="3"/>
        <v>0</v>
      </c>
      <c r="L33" s="43">
        <f t="shared" si="4"/>
        <v>935.0911379859358</v>
      </c>
      <c r="M33" s="43">
        <f t="shared" si="5"/>
        <v>0</v>
      </c>
      <c r="N33" s="43">
        <f t="shared" si="6"/>
        <v>935.0911379859358</v>
      </c>
      <c r="O33" s="43">
        <f t="shared" si="1"/>
        <v>-935.09113798593569</v>
      </c>
      <c r="P33" s="43">
        <f t="shared" si="2"/>
        <v>0</v>
      </c>
    </row>
    <row r="34" spans="2:16" x14ac:dyDescent="0.2">
      <c r="B34" s="42" t="s">
        <v>41</v>
      </c>
      <c r="C34" s="43">
        <f>SUMIF('Entrada TD'!$E$8:$E$43,'Reliquidación TD'!$B34,'Entrada TD'!F$8:F$43)</f>
        <v>1276707</v>
      </c>
      <c r="D34" s="43">
        <f>SUMIF('Entrada TD'!$E$8:$E$43,'Reliquidación TD'!$B34,'Entrada TD'!G$8:G$43)</f>
        <v>8790443.6421000008</v>
      </c>
      <c r="E34" s="43">
        <f>SUMIF('Entrada TD'!$E$8:$E$43,'Reliquidación TD'!$B34,'Entrada TD'!H$8:H$43)</f>
        <v>6255</v>
      </c>
      <c r="F34" s="43">
        <f>SUMIF('Entrada TD'!$E$8:$E$43,'Reliquidación TD'!$B34,'Entrada TD'!I$8:I$43)</f>
        <v>42218</v>
      </c>
      <c r="G34" s="43">
        <f>SUMIF('Entrada TD'!$E$8:$E$43,'Reliquidación TD'!$B34,'Entrada TD'!J$8:J$43)</f>
        <v>3324.115559525374</v>
      </c>
      <c r="H34" s="43">
        <v>0</v>
      </c>
      <c r="I34" s="43">
        <f t="shared" si="0"/>
        <v>0</v>
      </c>
      <c r="J34" s="43">
        <v>0</v>
      </c>
      <c r="K34" s="43">
        <f t="shared" si="3"/>
        <v>0</v>
      </c>
      <c r="L34" s="43">
        <f t="shared" si="4"/>
        <v>3324.115559525374</v>
      </c>
      <c r="M34" s="43">
        <f t="shared" si="5"/>
        <v>0</v>
      </c>
      <c r="N34" s="43">
        <f t="shared" si="6"/>
        <v>3324.115559525374</v>
      </c>
      <c r="O34" s="43">
        <f t="shared" si="1"/>
        <v>-3324.115559525374</v>
      </c>
      <c r="P34" s="43">
        <f t="shared" si="2"/>
        <v>0</v>
      </c>
    </row>
    <row r="35" spans="2:16" x14ac:dyDescent="0.2">
      <c r="B35" s="42" t="s">
        <v>42</v>
      </c>
      <c r="C35" s="43">
        <f>SUMIF('Entrada TD'!$E$8:$E$43,'Reliquidación TD'!$B35,'Entrada TD'!F$8:F$43)</f>
        <v>4811501.0999999996</v>
      </c>
      <c r="D35" s="43">
        <f>SUMIF('Entrada TD'!$E$8:$E$43,'Reliquidación TD'!$B35,'Entrada TD'!G$8:G$43)</f>
        <v>5595383.0766000003</v>
      </c>
      <c r="E35" s="43">
        <f>SUMIF('Entrada TD'!$E$8:$E$43,'Reliquidación TD'!$B35,'Entrada TD'!H$8:H$43)</f>
        <v>350281.9</v>
      </c>
      <c r="F35" s="43">
        <f>SUMIF('Entrada TD'!$E$8:$E$43,'Reliquidación TD'!$B35,'Entrada TD'!I$8:I$43)</f>
        <v>32102.6001</v>
      </c>
      <c r="G35" s="43">
        <f>SUMIF('Entrada TD'!$E$8:$E$43,'Reliquidación TD'!$B35,'Entrada TD'!J$8:J$43)</f>
        <v>685.91867343727404</v>
      </c>
      <c r="H35" s="43">
        <v>0</v>
      </c>
      <c r="I35" s="43">
        <f t="shared" si="0"/>
        <v>0</v>
      </c>
      <c r="J35" s="43">
        <v>0</v>
      </c>
      <c r="K35" s="43">
        <f t="shared" si="3"/>
        <v>0</v>
      </c>
      <c r="L35" s="43">
        <f t="shared" si="4"/>
        <v>685.91867343727404</v>
      </c>
      <c r="M35" s="43">
        <f t="shared" si="5"/>
        <v>0</v>
      </c>
      <c r="N35" s="43">
        <f t="shared" si="6"/>
        <v>685.91867343727404</v>
      </c>
      <c r="O35" s="43">
        <f t="shared" si="1"/>
        <v>-685.91867343727404</v>
      </c>
      <c r="P35" s="43">
        <f t="shared" si="2"/>
        <v>0</v>
      </c>
    </row>
    <row r="36" spans="2:16" x14ac:dyDescent="0.2">
      <c r="B36" s="42" t="s">
        <v>43</v>
      </c>
      <c r="C36" s="43">
        <f>SUMIF('Entrada TD'!$E$8:$E$43,'Reliquidación TD'!$B36,'Entrada TD'!F$8:F$43)</f>
        <v>4149649.6000999999</v>
      </c>
      <c r="D36" s="43">
        <f>SUMIF('Entrada TD'!$E$8:$E$43,'Reliquidación TD'!$B36,'Entrada TD'!G$8:G$43)</f>
        <v>4140508.7782999999</v>
      </c>
      <c r="E36" s="43">
        <f>SUMIF('Entrada TD'!$E$8:$E$43,'Reliquidación TD'!$B36,'Entrada TD'!H$8:H$43)</f>
        <v>399746</v>
      </c>
      <c r="F36" s="43">
        <f>SUMIF('Entrada TD'!$E$8:$E$43,'Reliquidación TD'!$B36,'Entrada TD'!I$8:I$43)</f>
        <v>76905.2</v>
      </c>
      <c r="G36" s="43">
        <f>SUMIF('Entrada TD'!$E$8:$E$43,'Reliquidación TD'!$B36,'Entrada TD'!J$8:J$43)</f>
        <v>7484.045333892198</v>
      </c>
      <c r="H36" s="43">
        <v>0</v>
      </c>
      <c r="I36" s="43">
        <f t="shared" si="0"/>
        <v>0</v>
      </c>
      <c r="J36" s="43">
        <v>0</v>
      </c>
      <c r="K36" s="43">
        <f t="shared" si="3"/>
        <v>0</v>
      </c>
      <c r="L36" s="43">
        <f t="shared" si="4"/>
        <v>7484.045333892198</v>
      </c>
      <c r="M36" s="43">
        <f t="shared" si="5"/>
        <v>0</v>
      </c>
      <c r="N36" s="43">
        <f t="shared" si="6"/>
        <v>7484.045333892198</v>
      </c>
      <c r="O36" s="43">
        <f t="shared" si="1"/>
        <v>-7484.045333892197</v>
      </c>
      <c r="P36" s="43">
        <f t="shared" si="2"/>
        <v>0</v>
      </c>
    </row>
    <row r="37" spans="2:16" x14ac:dyDescent="0.2">
      <c r="B37" s="42" t="s">
        <v>45</v>
      </c>
      <c r="C37" s="43">
        <f>SUMIF('Entrada TD'!$E$8:$E$43,'Reliquidación TD'!$B37,'Entrada TD'!F$8:F$43)</f>
        <v>615895</v>
      </c>
      <c r="D37" s="43">
        <f>SUMIF('Entrada TD'!$E$8:$E$43,'Reliquidación TD'!$B37,'Entrada TD'!G$8:G$43)</f>
        <v>789659</v>
      </c>
      <c r="E37" s="43">
        <f>SUMIF('Entrada TD'!$E$8:$E$43,'Reliquidación TD'!$B37,'Entrada TD'!H$8:H$43)</f>
        <v>56693</v>
      </c>
      <c r="F37" s="43">
        <f>SUMIF('Entrada TD'!$E$8:$E$43,'Reliquidación TD'!$B37,'Entrada TD'!I$8:I$43)</f>
        <v>12236</v>
      </c>
      <c r="G37" s="43">
        <f>SUMIF('Entrada TD'!$E$8:$E$43,'Reliquidación TD'!$B37,'Entrada TD'!J$8:J$43)</f>
        <v>0</v>
      </c>
      <c r="H37" s="43">
        <v>0</v>
      </c>
      <c r="I37" s="43">
        <f t="shared" si="0"/>
        <v>0</v>
      </c>
      <c r="J37" s="43">
        <v>0</v>
      </c>
      <c r="K37" s="43">
        <f t="shared" si="3"/>
        <v>0</v>
      </c>
      <c r="L37" s="43">
        <f t="shared" si="4"/>
        <v>0</v>
      </c>
      <c r="M37" s="43">
        <f t="shared" si="5"/>
        <v>0</v>
      </c>
      <c r="N37" s="43">
        <f t="shared" si="6"/>
        <v>0</v>
      </c>
      <c r="O37" s="43">
        <f t="shared" si="1"/>
        <v>0</v>
      </c>
      <c r="P37" s="43">
        <f t="shared" si="2"/>
        <v>0</v>
      </c>
    </row>
    <row r="38" spans="2:16" x14ac:dyDescent="0.2">
      <c r="B38" s="42" t="s">
        <v>46</v>
      </c>
      <c r="C38" s="43">
        <f>SUMIF('Entrada TD'!$E$8:$E$43,'Reliquidación TD'!$B38,'Entrada TD'!F$8:F$43)</f>
        <v>4020505.8080000002</v>
      </c>
      <c r="D38" s="43">
        <f>SUMIF('Entrada TD'!$E$8:$E$43,'Reliquidación TD'!$B38,'Entrada TD'!G$8:G$43)</f>
        <v>17385830.765000001</v>
      </c>
      <c r="E38" s="43">
        <f>SUMIF('Entrada TD'!$E$8:$E$43,'Reliquidación TD'!$B38,'Entrada TD'!H$8:H$43)</f>
        <v>11442.5</v>
      </c>
      <c r="F38" s="43">
        <f>SUMIF('Entrada TD'!$E$8:$E$43,'Reliquidación TD'!$B38,'Entrada TD'!I$8:I$43)</f>
        <v>28832.008999999998</v>
      </c>
      <c r="G38" s="43">
        <f>SUMIF('Entrada TD'!$E$8:$E$43,'Reliquidación TD'!$B38,'Entrada TD'!J$8:J$43)</f>
        <v>-680869.99282484304</v>
      </c>
      <c r="H38" s="43">
        <v>0</v>
      </c>
      <c r="I38" s="43">
        <f t="shared" si="0"/>
        <v>0</v>
      </c>
      <c r="J38" s="43">
        <v>0</v>
      </c>
      <c r="K38" s="43">
        <f t="shared" si="3"/>
        <v>0</v>
      </c>
      <c r="L38" s="43">
        <f t="shared" si="4"/>
        <v>-680869.99282484304</v>
      </c>
      <c r="M38" s="43">
        <f>IF(L38&lt;0,-L38,0)</f>
        <v>680869.99282484304</v>
      </c>
      <c r="N38" s="43">
        <f>IF(L38&gt;0,L38,0)</f>
        <v>0</v>
      </c>
      <c r="O38" s="43">
        <f t="shared" si="1"/>
        <v>449191.50630082685</v>
      </c>
      <c r="P38" s="43">
        <f t="shared" si="2"/>
        <v>-231678.48652401619</v>
      </c>
    </row>
    <row r="39" spans="2:16" x14ac:dyDescent="0.2">
      <c r="B39" s="42" t="s">
        <v>47</v>
      </c>
      <c r="C39" s="43">
        <f>SUMIF('Entrada TD'!$E$8:$E$43,'Reliquidación TD'!$B39,'Entrada TD'!F$8:F$43)</f>
        <v>5415989.6499999994</v>
      </c>
      <c r="D39" s="43">
        <f>SUMIF('Entrada TD'!$E$8:$E$43,'Reliquidación TD'!$B39,'Entrada TD'!G$8:G$43)</f>
        <v>26615885.381000001</v>
      </c>
      <c r="E39" s="43">
        <f>SUMIF('Entrada TD'!$E$8:$E$43,'Reliquidación TD'!$B39,'Entrada TD'!H$8:H$43)</f>
        <v>22564.501</v>
      </c>
      <c r="F39" s="43">
        <f>SUMIF('Entrada TD'!$E$8:$E$43,'Reliquidación TD'!$B39,'Entrada TD'!I$8:I$43)</f>
        <v>23740.393</v>
      </c>
      <c r="G39" s="43">
        <f>SUMIF('Entrada TD'!$E$8:$E$43,'Reliquidación TD'!$B39,'Entrada TD'!J$8:J$43)</f>
        <v>12980.19050906669</v>
      </c>
      <c r="H39" s="43">
        <v>0</v>
      </c>
      <c r="I39" s="43">
        <f t="shared" si="0"/>
        <v>0</v>
      </c>
      <c r="J39" s="43">
        <v>0</v>
      </c>
      <c r="K39" s="43">
        <f t="shared" si="3"/>
        <v>0</v>
      </c>
      <c r="L39" s="43">
        <f t="shared" si="4"/>
        <v>12980.19050906669</v>
      </c>
      <c r="M39" s="43">
        <f t="shared" si="5"/>
        <v>0</v>
      </c>
      <c r="N39" s="43">
        <f t="shared" si="6"/>
        <v>12980.19050906669</v>
      </c>
      <c r="O39" s="43">
        <f t="shared" si="1"/>
        <v>-12980.190509066688</v>
      </c>
      <c r="P39" s="43">
        <f t="shared" si="2"/>
        <v>0</v>
      </c>
    </row>
    <row r="40" spans="2:16" x14ac:dyDescent="0.2">
      <c r="B40" s="42" t="s">
        <v>48</v>
      </c>
      <c r="C40" s="43">
        <f>SUMIF('Entrada TD'!$E$8:$E$43,'Reliquidación TD'!$B40,'Entrada TD'!F$8:F$43)</f>
        <v>12467732.339</v>
      </c>
      <c r="D40" s="43">
        <f>SUMIF('Entrada TD'!$E$8:$E$43,'Reliquidación TD'!$B40,'Entrada TD'!G$8:G$43)</f>
        <v>48478175.480999999</v>
      </c>
      <c r="E40" s="43">
        <f>SUMIF('Entrada TD'!$E$8:$E$43,'Reliquidación TD'!$B40,'Entrada TD'!H$8:H$43)</f>
        <v>38307.54</v>
      </c>
      <c r="F40" s="43">
        <f>SUMIF('Entrada TD'!$E$8:$E$43,'Reliquidación TD'!$B40,'Entrada TD'!I$8:I$43)</f>
        <v>77095.680999999997</v>
      </c>
      <c r="G40" s="43">
        <f>SUMIF('Entrada TD'!$E$8:$E$43,'Reliquidación TD'!$B40,'Entrada TD'!J$8:J$43)</f>
        <v>-27139.958168405879</v>
      </c>
      <c r="H40" s="43">
        <v>0</v>
      </c>
      <c r="I40" s="43">
        <f t="shared" si="0"/>
        <v>0</v>
      </c>
      <c r="J40" s="43">
        <v>0</v>
      </c>
      <c r="K40" s="43">
        <f t="shared" si="3"/>
        <v>0</v>
      </c>
      <c r="L40" s="43">
        <f t="shared" si="4"/>
        <v>-27139.958168405879</v>
      </c>
      <c r="M40" s="43">
        <f t="shared" si="5"/>
        <v>27139.958168405879</v>
      </c>
      <c r="N40" s="43">
        <f t="shared" si="6"/>
        <v>0</v>
      </c>
      <c r="O40" s="43">
        <f t="shared" si="1"/>
        <v>17905.090280199594</v>
      </c>
      <c r="P40" s="43">
        <f t="shared" si="2"/>
        <v>-9234.867888206285</v>
      </c>
    </row>
    <row r="41" spans="2:16" x14ac:dyDescent="0.2">
      <c r="B41" s="42" t="s">
        <v>49</v>
      </c>
      <c r="C41" s="43">
        <f>SUMIF('Entrada TD'!$E$8:$E$43,'Reliquidación TD'!$B41,'Entrada TD'!F$8:F$43)</f>
        <v>0</v>
      </c>
      <c r="D41" s="43">
        <f>SUMIF('Entrada TD'!$E$8:$E$43,'Reliquidación TD'!$B41,'Entrada TD'!G$8:G$43)</f>
        <v>0</v>
      </c>
      <c r="E41" s="43">
        <f>SUMIF('Entrada TD'!$E$8:$E$43,'Reliquidación TD'!$B41,'Entrada TD'!H$8:H$43)</f>
        <v>0</v>
      </c>
      <c r="F41" s="43">
        <f>SUMIF('Entrada TD'!$E$8:$E$43,'Reliquidación TD'!$B41,'Entrada TD'!I$8:I$43)</f>
        <v>0</v>
      </c>
      <c r="G41" s="43">
        <f>SUMIF('Entrada TD'!$E$8:$E$43,'Reliquidación TD'!$B41,'Entrada TD'!J$8:J$43)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3"/>
        <v>0</v>
      </c>
      <c r="L41" s="43">
        <f t="shared" si="4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</row>
    <row r="42" spans="2:16" x14ac:dyDescent="0.2">
      <c r="B42" s="42" t="s">
        <v>50</v>
      </c>
      <c r="C42" s="43">
        <f>SUMIF('Entrada TD'!$E$8:$E$43,'Reliquidación TD'!$B42,'Entrada TD'!F$8:F$43)</f>
        <v>0</v>
      </c>
      <c r="D42" s="43">
        <f>SUMIF('Entrada TD'!$E$8:$E$43,'Reliquidación TD'!$B42,'Entrada TD'!G$8:G$43)</f>
        <v>7376</v>
      </c>
      <c r="E42" s="43">
        <f>SUMIF('Entrada TD'!$E$8:$E$43,'Reliquidación TD'!$B42,'Entrada TD'!H$8:H$43)</f>
        <v>0</v>
      </c>
      <c r="F42" s="43">
        <f>SUMIF('Entrada TD'!$E$8:$E$43,'Reliquidación TD'!$B42,'Entrada TD'!I$8:I$43)</f>
        <v>0</v>
      </c>
      <c r="G42" s="43">
        <f>SUMIF('Entrada TD'!$E$8:$E$43,'Reliquidación TD'!$B42,'Entrada TD'!J$8:J$43)</f>
        <v>0</v>
      </c>
      <c r="H42" s="43">
        <v>0</v>
      </c>
      <c r="I42" s="43">
        <f t="shared" si="0"/>
        <v>0</v>
      </c>
      <c r="J42" s="43">
        <v>0</v>
      </c>
      <c r="K42" s="43">
        <f t="shared" si="3"/>
        <v>0</v>
      </c>
      <c r="L42" s="43">
        <f t="shared" si="4"/>
        <v>0</v>
      </c>
      <c r="M42" s="43">
        <f>IF(L42&lt;0,-L42,0)</f>
        <v>0</v>
      </c>
      <c r="N42" s="43">
        <f>IF(L42&gt;0,L42,0)</f>
        <v>0</v>
      </c>
      <c r="O42" s="43">
        <f t="shared" si="1"/>
        <v>0</v>
      </c>
      <c r="P42" s="43">
        <f>L42+O42</f>
        <v>0</v>
      </c>
    </row>
    <row r="43" spans="2:16" x14ac:dyDescent="0.2">
      <c r="B43" s="44" t="s">
        <v>51</v>
      </c>
      <c r="C43" s="45">
        <f>SUMIF('Entrada TD'!$E$8:$E$43,'Reliquidación TD'!$B43,'Entrada TD'!F$8:F$43)</f>
        <v>30000.9</v>
      </c>
      <c r="D43" s="45">
        <f>SUMIF('Entrada TD'!$E$8:$E$43,'Reliquidación TD'!$B43,'Entrada TD'!G$8:G$43)</f>
        <v>49706.2</v>
      </c>
      <c r="E43" s="45">
        <f>SUMIF('Entrada TD'!$E$8:$E$43,'Reliquidación TD'!$B43,'Entrada TD'!H$8:H$43)</f>
        <v>0</v>
      </c>
      <c r="F43" s="45">
        <f>SUMIF('Entrada TD'!$E$8:$E$43,'Reliquidación TD'!$B43,'Entrada TD'!I$8:I$43)</f>
        <v>0</v>
      </c>
      <c r="G43" s="45">
        <f>SUMIF('Entrada TD'!$E$8:$E$43,'Reliquidación TD'!$B43,'Entrada TD'!J$8:J$43)</f>
        <v>0</v>
      </c>
      <c r="H43" s="45">
        <v>0</v>
      </c>
      <c r="I43" s="45">
        <f t="shared" si="0"/>
        <v>0</v>
      </c>
      <c r="J43" s="45">
        <v>0</v>
      </c>
      <c r="K43" s="45">
        <f t="shared" si="3"/>
        <v>0</v>
      </c>
      <c r="L43" s="45">
        <f t="shared" si="4"/>
        <v>0</v>
      </c>
      <c r="M43" s="45">
        <f t="shared" si="5"/>
        <v>0</v>
      </c>
      <c r="N43" s="45">
        <f t="shared" si="6"/>
        <v>0</v>
      </c>
      <c r="O43" s="45">
        <f t="shared" si="1"/>
        <v>0</v>
      </c>
      <c r="P43" s="45">
        <f t="shared" si="2"/>
        <v>0</v>
      </c>
    </row>
    <row r="44" spans="2:16" x14ac:dyDescent="0.2">
      <c r="B44" s="46" t="s">
        <v>66</v>
      </c>
      <c r="C44" s="16">
        <f t="shared" ref="C44:P44" si="7">SUM(C9:C43)</f>
        <v>456949536.07419991</v>
      </c>
      <c r="D44" s="47">
        <f t="shared" si="7"/>
        <v>1620563581.3066113</v>
      </c>
      <c r="E44" s="48">
        <f t="shared" si="7"/>
        <v>12772706.318999998</v>
      </c>
      <c r="F44" s="48">
        <f t="shared" si="7"/>
        <v>4990482.6930999998</v>
      </c>
      <c r="G44" s="48">
        <f t="shared" si="7"/>
        <v>-827295.44094174088</v>
      </c>
      <c r="H44" s="48">
        <f t="shared" si="7"/>
        <v>0</v>
      </c>
      <c r="I44" s="48">
        <f t="shared" si="7"/>
        <v>0</v>
      </c>
      <c r="J44" s="48">
        <f t="shared" si="7"/>
        <v>0</v>
      </c>
      <c r="K44" s="48">
        <f t="shared" si="7"/>
        <v>0</v>
      </c>
      <c r="L44" s="48">
        <f>SUM(L9:L43)</f>
        <v>-827295.44094174088</v>
      </c>
      <c r="M44" s="48">
        <f t="shared" si="7"/>
        <v>2431303.1796313901</v>
      </c>
      <c r="N44" s="48">
        <f t="shared" si="7"/>
        <v>1604007.7386896487</v>
      </c>
      <c r="O44" s="49">
        <f t="shared" si="7"/>
        <v>-3.5652192309498787E-10</v>
      </c>
      <c r="P44" s="49">
        <f t="shared" si="7"/>
        <v>-827295.44094174111</v>
      </c>
    </row>
    <row r="45" spans="2:16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6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6" x14ac:dyDescent="0.2">
      <c r="B47"/>
      <c r="C47"/>
      <c r="H47" s="52"/>
      <c r="I47" s="17"/>
      <c r="J47" s="17"/>
      <c r="K47" s="17"/>
      <c r="L47" s="17"/>
      <c r="M47" s="7" t="s">
        <v>67</v>
      </c>
      <c r="N47" s="53">
        <f>N44</f>
        <v>1604007.7386896487</v>
      </c>
      <c r="O47"/>
    </row>
    <row r="48" spans="2:16" x14ac:dyDescent="0.2">
      <c r="B48"/>
      <c r="C48"/>
      <c r="H48" s="52"/>
      <c r="I48" s="17"/>
      <c r="J48" s="17"/>
      <c r="K48" s="17"/>
      <c r="L48" s="17"/>
      <c r="M48" s="7" t="s">
        <v>68</v>
      </c>
      <c r="N48" s="53">
        <f>M44</f>
        <v>2431303.1796313901</v>
      </c>
      <c r="O48"/>
      <c r="P48" s="54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1604007.7386896487</v>
      </c>
      <c r="O49"/>
      <c r="P49" s="54"/>
    </row>
    <row r="50" spans="2:16" x14ac:dyDescent="0.2">
      <c r="M50" s="17"/>
      <c r="N50"/>
    </row>
    <row r="51" spans="2:16" x14ac:dyDescent="0.2">
      <c r="D51" s="55"/>
      <c r="G51" s="54"/>
    </row>
    <row r="52" spans="2:16" x14ac:dyDescent="0.2">
      <c r="D52" s="55"/>
    </row>
    <row r="53" spans="2:16" x14ac:dyDescent="0.2">
      <c r="D53" s="55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D18A-2017-400D-BF55-AB516D0F2E34}">
  <sheetPr codeName="Hoja6">
    <tabColor theme="8" tint="0.59999389629810485"/>
  </sheetPr>
  <dimension ref="B2:S11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42578125" style="20" customWidth="1"/>
    <col min="2" max="2" width="22.7109375" style="20" customWidth="1"/>
    <col min="3" max="3" width="11.5703125" style="20" bestFit="1" customWidth="1"/>
    <col min="4" max="4" width="13.140625" style="20" bestFit="1" customWidth="1"/>
    <col min="5" max="5" width="12.140625" style="20" customWidth="1"/>
    <col min="6" max="6" width="9.5703125" style="20" bestFit="1" customWidth="1"/>
    <col min="7" max="7" width="13.5703125" style="20" bestFit="1" customWidth="1"/>
    <col min="8" max="8" width="11.5703125" style="20" bestFit="1" customWidth="1"/>
    <col min="9" max="9" width="12.7109375" style="20" customWidth="1"/>
    <col min="10" max="10" width="13" style="20" customWidth="1"/>
    <col min="11" max="11" width="10.5703125" style="20" customWidth="1"/>
    <col min="12" max="12" width="17.85546875" style="20" customWidth="1"/>
    <col min="13" max="13" width="13.5703125" style="20" bestFit="1" customWidth="1"/>
    <col min="14" max="15" width="13.140625" style="20" bestFit="1" customWidth="1"/>
    <col min="16" max="16" width="16.28515625" style="20" customWidth="1"/>
    <col min="17" max="18" width="13.28515625" style="20" customWidth="1"/>
    <col min="19" max="19" width="14.7109375" style="20" customWidth="1"/>
    <col min="20" max="20" width="16.85546875" style="20" customWidth="1"/>
    <col min="21" max="16384" width="11.42578125" style="20"/>
  </cols>
  <sheetData>
    <row r="2" spans="2:19" x14ac:dyDescent="0.2">
      <c r="B2" s="19" t="s">
        <v>70</v>
      </c>
      <c r="C2" s="19"/>
      <c r="D2" s="19"/>
    </row>
    <row r="3" spans="2:19" x14ac:dyDescent="0.2">
      <c r="B3" s="21">
        <f>FechaFacturacion</f>
        <v>45597</v>
      </c>
      <c r="C3" s="22"/>
      <c r="D3" s="22"/>
      <c r="I3" s="23" t="s">
        <v>57</v>
      </c>
      <c r="J3" s="24"/>
      <c r="K3" s="24"/>
      <c r="L3" s="24"/>
    </row>
    <row r="4" spans="2:19" x14ac:dyDescent="0.2">
      <c r="B4" s="25"/>
      <c r="D4" s="22"/>
      <c r="I4" s="26">
        <f>'Reliquidación TD'!$I$4</f>
        <v>2.557787040545545E-3</v>
      </c>
      <c r="J4" s="27"/>
      <c r="K4" s="27"/>
      <c r="L4" s="27"/>
      <c r="M4" s="56"/>
    </row>
    <row r="5" spans="2:19" x14ac:dyDescent="0.2">
      <c r="J5" s="57"/>
      <c r="K5" s="57"/>
      <c r="L5" s="57"/>
    </row>
    <row r="6" spans="2:19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29" t="str">
        <f>"Saldo "&amp;TEXT(B3-1,"mmmmmmmmmm")</f>
        <v>Saldo octubre</v>
      </c>
      <c r="I6" s="29" t="s">
        <v>58</v>
      </c>
      <c r="J6" s="29" t="s">
        <v>59</v>
      </c>
      <c r="K6" s="29" t="s">
        <v>60</v>
      </c>
      <c r="L6" s="29" t="str">
        <f>CONCATENATE("Transferencias TD ", TEXT(FechaFacturacion, "mmmm yyyy"))</f>
        <v>Transferencias TD noviembre 2024</v>
      </c>
      <c r="M6" s="30" t="s">
        <v>11</v>
      </c>
      <c r="N6" s="29" t="s">
        <v>71</v>
      </c>
      <c r="O6" s="31" t="s">
        <v>72</v>
      </c>
      <c r="P6" s="29" t="s">
        <v>64</v>
      </c>
      <c r="Q6" s="29" t="s">
        <v>65</v>
      </c>
      <c r="R6" s="29" t="s">
        <v>73</v>
      </c>
      <c r="S6" s="29" t="s">
        <v>74</v>
      </c>
    </row>
    <row r="7" spans="2:19" ht="12.75" customHeight="1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4"/>
      <c r="M7" s="30"/>
      <c r="N7" s="34"/>
      <c r="O7" s="36"/>
      <c r="P7" s="34"/>
      <c r="Q7" s="34"/>
      <c r="R7" s="34"/>
      <c r="S7" s="34"/>
    </row>
    <row r="8" spans="2:19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7" t="s">
        <v>13</v>
      </c>
      <c r="O8" s="38" t="s">
        <v>13</v>
      </c>
      <c r="P8" s="39" t="s">
        <v>13</v>
      </c>
      <c r="Q8" s="39" t="s">
        <v>13</v>
      </c>
      <c r="R8" s="39" t="s">
        <v>13</v>
      </c>
      <c r="S8" s="39" t="s">
        <v>13</v>
      </c>
    </row>
    <row r="9" spans="2:19" x14ac:dyDescent="0.2">
      <c r="B9" s="40" t="s">
        <v>14</v>
      </c>
      <c r="C9" s="41">
        <f>SUMIF('Entrada AR'!$E$8:$E$43,'Reliquidación AR'!$B9,'Entrada AR'!F$8:F$43)</f>
        <v>2326097</v>
      </c>
      <c r="D9" s="41">
        <f>SUMIF('Entrada AR'!$E$8:$E$43,'Reliquidación AR'!$B9,'Entrada AR'!G$8:G$43)</f>
        <v>2635414</v>
      </c>
      <c r="E9" s="41">
        <f>SUMIF('Entrada AR'!$E$8:$E$43,'Reliquidación AR'!$B9,'Entrada AR'!H$8:H$43)</f>
        <v>185452</v>
      </c>
      <c r="F9" s="41">
        <f>SUMIF('Entrada AR'!$E$8:$E$43,'Reliquidación AR'!$B9,'Entrada AR'!I$8:I$43)</f>
        <v>40408</v>
      </c>
      <c r="G9" s="41">
        <f>SUMIF('Entrada AR'!$E$8:$E$43,'Reliquidación AR'!$B9,'Entrada AR'!J$8:J$43)</f>
        <v>-8980286.0310871005</v>
      </c>
      <c r="H9" s="41">
        <v>0</v>
      </c>
      <c r="I9" s="41">
        <f>H9*($I$4+1)</f>
        <v>0</v>
      </c>
      <c r="J9" s="41">
        <v>0</v>
      </c>
      <c r="K9" s="41">
        <f>+J9*($I$4+1)</f>
        <v>0</v>
      </c>
      <c r="L9" s="41">
        <f>+'Reliquidación TD'!O9</f>
        <v>0</v>
      </c>
      <c r="M9" s="41">
        <f t="shared" ref="M9:M43" si="0">G9+I9+K9</f>
        <v>-8980286.0310871005</v>
      </c>
      <c r="N9" s="41">
        <f>IF(M9&lt;0,-M9,0)</f>
        <v>8980286.0310871005</v>
      </c>
      <c r="O9" s="41">
        <f>IF(M9&gt;0,M9,0)</f>
        <v>0</v>
      </c>
      <c r="P9" s="41">
        <f t="shared" ref="P9:P42" si="1">IF(OR($N$44=0,$O$44=0),0,(N9/$N$44-O9/$O$44)*$O$49)</f>
        <v>8980286.0310871005</v>
      </c>
      <c r="Q9" s="41">
        <f>M9+P9</f>
        <v>0</v>
      </c>
      <c r="R9" s="41">
        <v>0</v>
      </c>
      <c r="S9" s="41">
        <f>+Q9+R9</f>
        <v>0</v>
      </c>
    </row>
    <row r="10" spans="2:19" x14ac:dyDescent="0.2">
      <c r="B10" s="42" t="s">
        <v>15</v>
      </c>
      <c r="C10" s="43">
        <f>SUMIF('Entrada AR'!$E$8:$E$43,'Reliquidación AR'!$B10,'Entrada AR'!F$8:F$43)</f>
        <v>831740</v>
      </c>
      <c r="D10" s="43">
        <f>SUMIF('Entrada AR'!$E$8:$E$43,'Reliquidación AR'!$B10,'Entrada AR'!G$8:G$43)</f>
        <v>3003747</v>
      </c>
      <c r="E10" s="43">
        <f>SUMIF('Entrada AR'!$E$8:$E$43,'Reliquidación AR'!$B10,'Entrada AR'!H$8:H$43)</f>
        <v>2532</v>
      </c>
      <c r="F10" s="43">
        <f>SUMIF('Entrada AR'!$E$8:$E$43,'Reliquidación AR'!$B10,'Entrada AR'!I$8:I$43)</f>
        <v>30414</v>
      </c>
      <c r="G10" s="43">
        <f>SUMIF('Entrada AR'!$E$8:$E$43,'Reliquidación AR'!$B10,'Entrada AR'!J$8:J$43)</f>
        <v>-32076418.02706572</v>
      </c>
      <c r="H10" s="43">
        <v>0</v>
      </c>
      <c r="I10" s="43">
        <f t="shared" ref="I10:I40" si="2">H10*($I$4+1)</f>
        <v>0</v>
      </c>
      <c r="J10" s="43">
        <v>0</v>
      </c>
      <c r="K10" s="43">
        <f t="shared" ref="K10:K43" si="3">+J10*($I$4+1)</f>
        <v>0</v>
      </c>
      <c r="L10" s="43">
        <f>+'Reliquidación TD'!O10</f>
        <v>0</v>
      </c>
      <c r="M10" s="43">
        <f t="shared" si="0"/>
        <v>-32076418.02706572</v>
      </c>
      <c r="N10" s="43">
        <f t="shared" ref="N10:N43" si="4">IF(M10&lt;0,-M10,0)</f>
        <v>32076418.02706572</v>
      </c>
      <c r="O10" s="43">
        <f t="shared" ref="O10:O43" si="5">IF(M10&gt;0,M10,0)</f>
        <v>0</v>
      </c>
      <c r="P10" s="43">
        <f t="shared" si="1"/>
        <v>32076418.027065724</v>
      </c>
      <c r="Q10" s="43">
        <f t="shared" ref="Q10:Q43" si="6">M10+P10</f>
        <v>0</v>
      </c>
      <c r="R10" s="43">
        <v>0</v>
      </c>
      <c r="S10" s="43">
        <f t="shared" ref="S10:S43" si="7">+Q10+R10</f>
        <v>0</v>
      </c>
    </row>
    <row r="11" spans="2:19" x14ac:dyDescent="0.2">
      <c r="B11" s="42" t="s">
        <v>16</v>
      </c>
      <c r="C11" s="43">
        <f>SUMIF('Entrada AR'!$E$8:$E$43,'Reliquidación AR'!$B11,'Entrada AR'!F$8:F$43)</f>
        <v>1805683.4</v>
      </c>
      <c r="D11" s="43">
        <f>SUMIF('Entrada AR'!$E$8:$E$43,'Reliquidación AR'!$B11,'Entrada AR'!G$8:G$43)</f>
        <v>5971293.3500100002</v>
      </c>
      <c r="E11" s="43">
        <f>SUMIF('Entrada AR'!$E$8:$E$43,'Reliquidación AR'!$B11,'Entrada AR'!H$8:H$43)</f>
        <v>0</v>
      </c>
      <c r="F11" s="43">
        <f>SUMIF('Entrada AR'!$E$8:$E$43,'Reliquidación AR'!$B11,'Entrada AR'!I$8:I$43)</f>
        <v>13086.6</v>
      </c>
      <c r="G11" s="43">
        <f>SUMIF('Entrada AR'!$E$8:$E$43,'Reliquidación AR'!$B11,'Entrada AR'!J$8:J$43)</f>
        <v>13275857.850828931</v>
      </c>
      <c r="H11" s="43">
        <v>4200871.1248451602</v>
      </c>
      <c r="I11" s="43">
        <f t="shared" si="2"/>
        <v>4211616.0585672911</v>
      </c>
      <c r="J11" s="43">
        <v>0</v>
      </c>
      <c r="K11" s="43">
        <f t="shared" si="3"/>
        <v>0</v>
      </c>
      <c r="L11" s="43">
        <f>+'Reliquidación TD'!O11</f>
        <v>0</v>
      </c>
      <c r="M11" s="43">
        <f t="shared" si="0"/>
        <v>17487473.909396224</v>
      </c>
      <c r="N11" s="43">
        <f t="shared" si="4"/>
        <v>0</v>
      </c>
      <c r="O11" s="43">
        <f t="shared" si="5"/>
        <v>17487473.909396224</v>
      </c>
      <c r="P11" s="43">
        <f t="shared" si="1"/>
        <v>-12154202.066077644</v>
      </c>
      <c r="Q11" s="43">
        <f t="shared" si="6"/>
        <v>5333271.8433185797</v>
      </c>
      <c r="R11" s="43">
        <v>0</v>
      </c>
      <c r="S11" s="43">
        <f t="shared" si="7"/>
        <v>5333271.8433185797</v>
      </c>
    </row>
    <row r="12" spans="2:19" x14ac:dyDescent="0.2">
      <c r="B12" s="42" t="s">
        <v>17</v>
      </c>
      <c r="C12" s="43">
        <f>SUMIF('Entrada AR'!$E$8:$E$43,'Reliquidación AR'!$B12,'Entrada AR'!F$8:F$43)</f>
        <v>435195</v>
      </c>
      <c r="D12" s="43">
        <f>SUMIF('Entrada AR'!$E$8:$E$43,'Reliquidación AR'!$B12,'Entrada AR'!G$8:G$43)</f>
        <v>1404719</v>
      </c>
      <c r="E12" s="43">
        <f>SUMIF('Entrada AR'!$E$8:$E$43,'Reliquidación AR'!$B12,'Entrada AR'!H$8:H$43)</f>
        <v>0</v>
      </c>
      <c r="F12" s="43">
        <f>SUMIF('Entrada AR'!$E$8:$E$43,'Reliquidación AR'!$B12,'Entrada AR'!I$8:I$43)</f>
        <v>0</v>
      </c>
      <c r="G12" s="43">
        <f>SUMIF('Entrada AR'!$E$8:$E$43,'Reliquidación AR'!$B12,'Entrada AR'!J$8:J$43)</f>
        <v>3233676.9972593389</v>
      </c>
      <c r="H12" s="43">
        <v>869241.47081074538</v>
      </c>
      <c r="I12" s="43">
        <f t="shared" si="2"/>
        <v>871464.80537988991</v>
      </c>
      <c r="J12" s="43">
        <v>0</v>
      </c>
      <c r="K12" s="43">
        <f t="shared" si="3"/>
        <v>0</v>
      </c>
      <c r="L12" s="43">
        <f>+'Reliquidación TD'!O12</f>
        <v>0</v>
      </c>
      <c r="M12" s="43">
        <f t="shared" si="0"/>
        <v>4105141.8026392288</v>
      </c>
      <c r="N12" s="43">
        <f t="shared" si="4"/>
        <v>0</v>
      </c>
      <c r="O12" s="43">
        <f t="shared" si="5"/>
        <v>4105141.8026392288</v>
      </c>
      <c r="P12" s="43">
        <f t="shared" si="1"/>
        <v>-2853169.2591901687</v>
      </c>
      <c r="Q12" s="43">
        <f t="shared" si="6"/>
        <v>1251972.5434490601</v>
      </c>
      <c r="R12" s="43">
        <v>0</v>
      </c>
      <c r="S12" s="43">
        <f t="shared" si="7"/>
        <v>1251972.5434490601</v>
      </c>
    </row>
    <row r="13" spans="2:19" x14ac:dyDescent="0.2">
      <c r="B13" s="42" t="s">
        <v>18</v>
      </c>
      <c r="C13" s="43">
        <f>SUMIF('Entrada AR'!$E$8:$E$43,'Reliquidación AR'!$B13,'Entrada AR'!F$8:F$43)</f>
        <v>150295288.942</v>
      </c>
      <c r="D13" s="43">
        <f>SUMIF('Entrada AR'!$E$8:$E$43,'Reliquidación AR'!$B13,'Entrada AR'!G$8:G$43)</f>
        <v>443534739.91159087</v>
      </c>
      <c r="E13" s="43">
        <f>SUMIF('Entrada AR'!$E$8:$E$43,'Reliquidación AR'!$B13,'Entrada AR'!H$8:H$43)</f>
        <v>5446913.2929999996</v>
      </c>
      <c r="F13" s="43">
        <f>SUMIF('Entrada AR'!$E$8:$E$43,'Reliquidación AR'!$B13,'Entrada AR'!I$8:I$43)</f>
        <v>1602973.736</v>
      </c>
      <c r="G13" s="43">
        <f>SUMIF('Entrada AR'!$E$8:$E$43,'Reliquidación AR'!$B13,'Entrada AR'!J$8:J$43)</f>
        <v>-1292427990.2304521</v>
      </c>
      <c r="H13" s="43">
        <v>0</v>
      </c>
      <c r="I13" s="43">
        <f t="shared" si="2"/>
        <v>0</v>
      </c>
      <c r="J13" s="43">
        <v>0</v>
      </c>
      <c r="K13" s="43">
        <f t="shared" si="3"/>
        <v>0</v>
      </c>
      <c r="L13" s="43">
        <f>+'Reliquidación TD'!O13</f>
        <v>1062064.4485827079</v>
      </c>
      <c r="M13" s="43">
        <f t="shared" si="0"/>
        <v>-1292427990.2304521</v>
      </c>
      <c r="N13" s="43">
        <f t="shared" si="4"/>
        <v>1292427990.2304521</v>
      </c>
      <c r="O13" s="43">
        <f t="shared" si="5"/>
        <v>0</v>
      </c>
      <c r="P13" s="43">
        <f t="shared" si="1"/>
        <v>1292427990.2304521</v>
      </c>
      <c r="Q13" s="43">
        <f t="shared" si="6"/>
        <v>0</v>
      </c>
      <c r="R13" s="43">
        <v>0</v>
      </c>
      <c r="S13" s="43">
        <f t="shared" si="7"/>
        <v>0</v>
      </c>
    </row>
    <row r="14" spans="2:19" x14ac:dyDescent="0.2">
      <c r="B14" s="42" t="s">
        <v>20</v>
      </c>
      <c r="C14" s="43">
        <f>SUMIF('Entrada AR'!$E$8:$E$43,'Reliquidación AR'!$B14,'Entrada AR'!F$8:F$43)</f>
        <v>47106.500999999997</v>
      </c>
      <c r="D14" s="43">
        <f>SUMIF('Entrada AR'!$E$8:$E$43,'Reliquidación AR'!$B14,'Entrada AR'!G$8:G$43)</f>
        <v>905866.74800000002</v>
      </c>
      <c r="E14" s="43">
        <f>SUMIF('Entrada AR'!$E$8:$E$43,'Reliquidación AR'!$B14,'Entrada AR'!H$8:H$43)</f>
        <v>0</v>
      </c>
      <c r="F14" s="43">
        <f>SUMIF('Entrada AR'!$E$8:$E$43,'Reliquidación AR'!$B14,'Entrada AR'!I$8:I$43)</f>
        <v>0</v>
      </c>
      <c r="G14" s="43">
        <f>SUMIF('Entrada AR'!$E$8:$E$43,'Reliquidación AR'!$B14,'Entrada AR'!J$8:J$43)</f>
        <v>1625080.235129578</v>
      </c>
      <c r="H14" s="43">
        <v>567219.14643596066</v>
      </c>
      <c r="I14" s="43">
        <f>H14*($I$4+1)</f>
        <v>568669.97221786389</v>
      </c>
      <c r="J14" s="43">
        <v>0</v>
      </c>
      <c r="K14" s="43">
        <f t="shared" si="3"/>
        <v>0</v>
      </c>
      <c r="L14" s="43">
        <f>+'Reliquidación TD'!O14</f>
        <v>0</v>
      </c>
      <c r="M14" s="43">
        <f t="shared" si="0"/>
        <v>2193750.2073474419</v>
      </c>
      <c r="N14" s="43">
        <f t="shared" si="4"/>
        <v>0</v>
      </c>
      <c r="O14" s="43">
        <f t="shared" si="5"/>
        <v>2193750.2073474419</v>
      </c>
      <c r="P14" s="43">
        <f t="shared" si="1"/>
        <v>-1524707.5387071227</v>
      </c>
      <c r="Q14" s="43">
        <f t="shared" si="6"/>
        <v>669042.66864031926</v>
      </c>
      <c r="R14" s="43">
        <v>0</v>
      </c>
      <c r="S14" s="43">
        <f t="shared" si="7"/>
        <v>669042.66864031926</v>
      </c>
    </row>
    <row r="15" spans="2:19" x14ac:dyDescent="0.2">
      <c r="B15" s="42" t="s">
        <v>21</v>
      </c>
      <c r="C15" s="43">
        <f>SUMIF('Entrada AR'!$E$8:$E$43,'Reliquidación AR'!$B15,'Entrada AR'!F$8:F$43)</f>
        <v>11974026.299000001</v>
      </c>
      <c r="D15" s="43">
        <f>SUMIF('Entrada AR'!$E$8:$E$43,'Reliquidación AR'!$B15,'Entrada AR'!G$8:G$43)</f>
        <v>19645721.359000001</v>
      </c>
      <c r="E15" s="43">
        <f>SUMIF('Entrada AR'!$E$8:$E$43,'Reliquidación AR'!$B15,'Entrada AR'!H$8:H$43)</f>
        <v>272085.80099999998</v>
      </c>
      <c r="F15" s="43">
        <f>SUMIF('Entrada AR'!$E$8:$E$43,'Reliquidación AR'!$B15,'Entrada AR'!I$8:I$43)</f>
        <v>81469.142000000007</v>
      </c>
      <c r="G15" s="43">
        <f>SUMIF('Entrada AR'!$E$8:$E$43,'Reliquidación AR'!$B15,'Entrada AR'!J$8:J$43)</f>
        <v>-93095389.067753837</v>
      </c>
      <c r="H15" s="43">
        <v>0</v>
      </c>
      <c r="I15" s="43">
        <f t="shared" si="2"/>
        <v>0</v>
      </c>
      <c r="J15" s="43">
        <v>0</v>
      </c>
      <c r="K15" s="43">
        <f t="shared" si="3"/>
        <v>0</v>
      </c>
      <c r="L15" s="43">
        <f>+'Reliquidación TD'!O15</f>
        <v>-55120.327699084817</v>
      </c>
      <c r="M15" s="43">
        <f t="shared" si="0"/>
        <v>-93095389.067753837</v>
      </c>
      <c r="N15" s="43">
        <f t="shared" si="4"/>
        <v>93095389.067753837</v>
      </c>
      <c r="O15" s="43">
        <f t="shared" si="5"/>
        <v>0</v>
      </c>
      <c r="P15" s="43">
        <f t="shared" si="1"/>
        <v>93095389.067753837</v>
      </c>
      <c r="Q15" s="43">
        <f t="shared" si="6"/>
        <v>0</v>
      </c>
      <c r="R15" s="43">
        <v>0</v>
      </c>
      <c r="S15" s="43">
        <f t="shared" si="7"/>
        <v>0</v>
      </c>
    </row>
    <row r="16" spans="2:19" x14ac:dyDescent="0.2">
      <c r="B16" s="42" t="s">
        <v>22</v>
      </c>
      <c r="C16" s="43">
        <f>SUMIF('Entrada AR'!$E$8:$E$43,'Reliquidación AR'!$B16,'Entrada AR'!F$8:F$43)</f>
        <v>0</v>
      </c>
      <c r="D16" s="43">
        <f>SUMIF('Entrada AR'!$E$8:$E$43,'Reliquidación AR'!$B16,'Entrada AR'!G$8:G$43)</f>
        <v>0</v>
      </c>
      <c r="E16" s="43">
        <f>SUMIF('Entrada AR'!$E$8:$E$43,'Reliquidación AR'!$B16,'Entrada AR'!H$8:H$43)</f>
        <v>0</v>
      </c>
      <c r="F16" s="43">
        <f>SUMIF('Entrada AR'!$E$8:$E$43,'Reliquidación AR'!$B16,'Entrada AR'!I$8:I$43)</f>
        <v>0</v>
      </c>
      <c r="G16" s="43">
        <f>SUMIF('Entrada AR'!$E$8:$E$43,'Reliquidación AR'!$B16,'Entrada AR'!J$8:J$43)</f>
        <v>0</v>
      </c>
      <c r="H16" s="43">
        <v>0</v>
      </c>
      <c r="I16" s="43">
        <f t="shared" si="2"/>
        <v>0</v>
      </c>
      <c r="J16" s="43">
        <v>0</v>
      </c>
      <c r="K16" s="43">
        <f t="shared" si="3"/>
        <v>0</v>
      </c>
      <c r="L16" s="43">
        <f>+'Reliquidación TD'!O16</f>
        <v>0</v>
      </c>
      <c r="M16" s="43">
        <f t="shared" si="0"/>
        <v>0</v>
      </c>
      <c r="N16" s="43">
        <f t="shared" si="4"/>
        <v>0</v>
      </c>
      <c r="O16" s="43">
        <f t="shared" si="5"/>
        <v>0</v>
      </c>
      <c r="P16" s="43">
        <f t="shared" si="1"/>
        <v>0</v>
      </c>
      <c r="Q16" s="43">
        <f t="shared" si="6"/>
        <v>0</v>
      </c>
      <c r="R16" s="43">
        <v>0</v>
      </c>
      <c r="S16" s="43">
        <f t="shared" si="7"/>
        <v>0</v>
      </c>
    </row>
    <row r="17" spans="2:19" x14ac:dyDescent="0.2">
      <c r="B17" s="42" t="s">
        <v>23</v>
      </c>
      <c r="C17" s="43">
        <f>SUMIF('Entrada AR'!$E$8:$E$43,'Reliquidación AR'!$B17,'Entrada AR'!F$8:F$43)</f>
        <v>0</v>
      </c>
      <c r="D17" s="43">
        <f>SUMIF('Entrada AR'!$E$8:$E$43,'Reliquidación AR'!$B17,'Entrada AR'!G$8:G$43)</f>
        <v>0</v>
      </c>
      <c r="E17" s="43">
        <f>SUMIF('Entrada AR'!$E$8:$E$43,'Reliquidación AR'!$B17,'Entrada AR'!H$8:H$43)</f>
        <v>0</v>
      </c>
      <c r="F17" s="43">
        <f>SUMIF('Entrada AR'!$E$8:$E$43,'Reliquidación AR'!$B17,'Entrada AR'!I$8:I$43)</f>
        <v>0</v>
      </c>
      <c r="G17" s="43">
        <f>SUMIF('Entrada AR'!$E$8:$E$43,'Reliquidación AR'!$B17,'Entrada AR'!J$8:J$43)</f>
        <v>0</v>
      </c>
      <c r="H17" s="43">
        <v>0</v>
      </c>
      <c r="I17" s="43">
        <f t="shared" si="2"/>
        <v>0</v>
      </c>
      <c r="J17" s="43">
        <v>0</v>
      </c>
      <c r="K17" s="43">
        <f t="shared" si="3"/>
        <v>0</v>
      </c>
      <c r="L17" s="43">
        <f>+'Reliquidación TD'!O17</f>
        <v>0</v>
      </c>
      <c r="M17" s="43">
        <f t="shared" si="0"/>
        <v>0</v>
      </c>
      <c r="N17" s="43">
        <f t="shared" si="4"/>
        <v>0</v>
      </c>
      <c r="O17" s="43">
        <f t="shared" si="5"/>
        <v>0</v>
      </c>
      <c r="P17" s="43">
        <f t="shared" si="1"/>
        <v>0</v>
      </c>
      <c r="Q17" s="43">
        <f t="shared" si="6"/>
        <v>0</v>
      </c>
      <c r="R17" s="43">
        <v>0</v>
      </c>
      <c r="S17" s="43">
        <f t="shared" si="7"/>
        <v>0</v>
      </c>
    </row>
    <row r="18" spans="2:19" x14ac:dyDescent="0.2">
      <c r="B18" s="42" t="s">
        <v>24</v>
      </c>
      <c r="C18" s="43">
        <f>SUMIF('Entrada AR'!$E$8:$E$43,'Reliquidación AR'!$B18,'Entrada AR'!F$8:F$43)+SUMIF('Entrada AR'!$E$8:$E$43,"LUZ ANDES",'Entrada AR'!F$8:F$43)</f>
        <v>99737508.738999993</v>
      </c>
      <c r="D18" s="43">
        <f>SUMIF('Entrada AR'!$E$8:$E$43,'Reliquidación AR'!$B18,'Entrada AR'!G$8:G$43)+SUMIF('Entrada AR'!$E$8:$E$43,"LUZ ANDES",'Entrada AR'!G$8:G$43)</f>
        <v>579636193.58700001</v>
      </c>
      <c r="E18" s="43">
        <f>SUMIF('Entrada AR'!$E$8:$E$43,'Reliquidación AR'!$B18,'Entrada AR'!H$8:H$43)+SUMIF('Entrada AR'!$E$8:$E$43,"LUZ ANDES",'Entrada AR'!H$8:H$43)</f>
        <v>535261</v>
      </c>
      <c r="F18" s="43">
        <f>SUMIF('Entrada AR'!$E$8:$E$43,'Reliquidación AR'!$B18,'Entrada AR'!I$8:I$43)+SUMIF('Entrada AR'!$E$8:$E$43,"LUZ ANDES",'Entrada AR'!I$8:I$43)</f>
        <v>1279747.5719999999</v>
      </c>
      <c r="G18" s="43">
        <f>SUMIF('Entrada AR'!$E$8:$E$43,'Reliquidación AR'!$B18,'Entrada AR'!J$8:J$43)+SUMIF('Entrada AR'!$E$8:$E$43,"LUZ ANDES",'Entrada AR'!J$8:J$43)</f>
        <v>1101529545.2514265</v>
      </c>
      <c r="H18" s="43">
        <v>345669527.43992019</v>
      </c>
      <c r="I18" s="43">
        <f t="shared" si="2"/>
        <v>346553676.47751755</v>
      </c>
      <c r="J18" s="43">
        <v>0</v>
      </c>
      <c r="K18" s="43">
        <f t="shared" si="3"/>
        <v>0</v>
      </c>
      <c r="L18" s="43">
        <f>+'Reliquidación TD'!O18</f>
        <v>-1432983.8746457689</v>
      </c>
      <c r="M18" s="43">
        <f t="shared" si="0"/>
        <v>1448083221.7289441</v>
      </c>
      <c r="N18" s="43">
        <f t="shared" si="4"/>
        <v>0</v>
      </c>
      <c r="O18" s="43">
        <f t="shared" si="5"/>
        <v>1448083221.7289441</v>
      </c>
      <c r="P18" s="43">
        <f t="shared" si="1"/>
        <v>-1006451599.3892897</v>
      </c>
      <c r="Q18" s="43">
        <f t="shared" si="6"/>
        <v>441631622.33965433</v>
      </c>
      <c r="R18" s="43">
        <v>0</v>
      </c>
      <c r="S18" s="43">
        <f t="shared" si="7"/>
        <v>441631622.33965433</v>
      </c>
    </row>
    <row r="19" spans="2:19" x14ac:dyDescent="0.2">
      <c r="B19" s="42" t="s">
        <v>26</v>
      </c>
      <c r="C19" s="43">
        <f>SUMIF('Entrada AR'!$E$8:$E$43,'Reliquidación AR'!$B19,'Entrada AR'!F$8:F$43)</f>
        <v>36115044.516000003</v>
      </c>
      <c r="D19" s="43">
        <f>SUMIF('Entrada AR'!$E$8:$E$43,'Reliquidación AR'!$B19,'Entrada AR'!G$8:G$43)</f>
        <v>67120981.821999997</v>
      </c>
      <c r="E19" s="43">
        <f>SUMIF('Entrada AR'!$E$8:$E$43,'Reliquidación AR'!$B19,'Entrada AR'!H$8:H$43)</f>
        <v>1245663.814</v>
      </c>
      <c r="F19" s="43">
        <f>SUMIF('Entrada AR'!$E$8:$E$43,'Reliquidación AR'!$B19,'Entrada AR'!I$8:I$43)</f>
        <v>157017.12599999999</v>
      </c>
      <c r="G19" s="43">
        <f>SUMIF('Entrada AR'!$E$8:$E$43,'Reliquidación AR'!$B19,'Entrada AR'!J$8:J$43)</f>
        <v>-328554590.0939337</v>
      </c>
      <c r="H19" s="43">
        <v>0</v>
      </c>
      <c r="I19" s="43">
        <f t="shared" si="2"/>
        <v>0</v>
      </c>
      <c r="J19" s="43">
        <v>0</v>
      </c>
      <c r="K19" s="43">
        <f t="shared" si="3"/>
        <v>0</v>
      </c>
      <c r="L19" s="43">
        <f>+'Reliquidación TD'!O19</f>
        <v>73827.377296194318</v>
      </c>
      <c r="M19" s="43">
        <f t="shared" si="0"/>
        <v>-328554590.0939337</v>
      </c>
      <c r="N19" s="43">
        <f t="shared" si="4"/>
        <v>328554590.0939337</v>
      </c>
      <c r="O19" s="43">
        <f t="shared" si="5"/>
        <v>0</v>
      </c>
      <c r="P19" s="43">
        <f t="shared" si="1"/>
        <v>328554590.0939337</v>
      </c>
      <c r="Q19" s="43">
        <f t="shared" si="6"/>
        <v>0</v>
      </c>
      <c r="R19" s="43">
        <v>0</v>
      </c>
      <c r="S19" s="43">
        <f t="shared" si="7"/>
        <v>0</v>
      </c>
    </row>
    <row r="20" spans="2:19" x14ac:dyDescent="0.2">
      <c r="B20" s="42" t="s">
        <v>27</v>
      </c>
      <c r="C20" s="43">
        <f>SUMIF('Entrada AR'!$E$8:$E$43,'Reliquidación AR'!$B20,'Entrada AR'!F$8:F$43)</f>
        <v>3546002.7880000002</v>
      </c>
      <c r="D20" s="43">
        <f>SUMIF('Entrada AR'!$E$8:$E$43,'Reliquidación AR'!$B20,'Entrada AR'!G$8:G$43)</f>
        <v>17843777.791000001</v>
      </c>
      <c r="E20" s="43">
        <f>SUMIF('Entrada AR'!$E$8:$E$43,'Reliquidación AR'!$B20,'Entrada AR'!H$8:H$43)</f>
        <v>0</v>
      </c>
      <c r="F20" s="43">
        <f>SUMIF('Entrada AR'!$E$8:$E$43,'Reliquidación AR'!$B20,'Entrada AR'!I$8:I$43)</f>
        <v>23027.304</v>
      </c>
      <c r="G20" s="43">
        <f>SUMIF('Entrada AR'!$E$8:$E$43,'Reliquidación AR'!$B20,'Entrada AR'!J$8:J$43)</f>
        <v>-69341941.897305191</v>
      </c>
      <c r="H20" s="43">
        <v>0</v>
      </c>
      <c r="I20" s="43">
        <f t="shared" si="2"/>
        <v>0</v>
      </c>
      <c r="J20" s="43">
        <v>0</v>
      </c>
      <c r="K20" s="43">
        <f t="shared" si="3"/>
        <v>0</v>
      </c>
      <c r="L20" s="43">
        <f>+'Reliquidación TD'!O20</f>
        <v>-19647.009524499881</v>
      </c>
      <c r="M20" s="43">
        <f t="shared" si="0"/>
        <v>-69341941.897305191</v>
      </c>
      <c r="N20" s="43">
        <f t="shared" si="4"/>
        <v>69341941.897305191</v>
      </c>
      <c r="O20" s="43">
        <f t="shared" si="5"/>
        <v>0</v>
      </c>
      <c r="P20" s="43">
        <f t="shared" si="1"/>
        <v>69341941.897305191</v>
      </c>
      <c r="Q20" s="43">
        <f t="shared" si="6"/>
        <v>0</v>
      </c>
      <c r="R20" s="43">
        <v>0</v>
      </c>
      <c r="S20" s="43">
        <f t="shared" si="7"/>
        <v>0</v>
      </c>
    </row>
    <row r="21" spans="2:19" x14ac:dyDescent="0.2">
      <c r="B21" s="42" t="s">
        <v>28</v>
      </c>
      <c r="C21" s="43">
        <f>SUMIF('Entrada AR'!$E$8:$E$43,'Reliquidación AR'!$B21,'Entrada AR'!F$8:F$43)</f>
        <v>0</v>
      </c>
      <c r="D21" s="43">
        <f>SUMIF('Entrada AR'!$E$8:$E$43,'Reliquidación AR'!$B21,'Entrada AR'!G$8:G$43)</f>
        <v>0</v>
      </c>
      <c r="E21" s="43">
        <f>SUMIF('Entrada AR'!$E$8:$E$43,'Reliquidación AR'!$B21,'Entrada AR'!H$8:H$43)</f>
        <v>0</v>
      </c>
      <c r="F21" s="43">
        <f>SUMIF('Entrada AR'!$E$8:$E$43,'Reliquidación AR'!$B21,'Entrada AR'!I$8:I$43)</f>
        <v>0</v>
      </c>
      <c r="G21" s="43">
        <f>SUMIF('Entrada AR'!$E$8:$E$43,'Reliquidación AR'!$B21,'Entrada AR'!J$8:J$43)</f>
        <v>0</v>
      </c>
      <c r="H21" s="43">
        <v>0</v>
      </c>
      <c r="I21" s="43">
        <f t="shared" si="2"/>
        <v>0</v>
      </c>
      <c r="J21" s="43">
        <v>0</v>
      </c>
      <c r="K21" s="43">
        <f t="shared" si="3"/>
        <v>0</v>
      </c>
      <c r="L21" s="43">
        <f>+'Reliquidación TD'!O21</f>
        <v>0</v>
      </c>
      <c r="M21" s="43">
        <f t="shared" si="0"/>
        <v>0</v>
      </c>
      <c r="N21" s="43">
        <f t="shared" si="4"/>
        <v>0</v>
      </c>
      <c r="O21" s="43">
        <f t="shared" si="5"/>
        <v>0</v>
      </c>
      <c r="P21" s="43">
        <f t="shared" si="1"/>
        <v>0</v>
      </c>
      <c r="Q21" s="43">
        <f t="shared" si="6"/>
        <v>0</v>
      </c>
      <c r="R21" s="43">
        <v>0</v>
      </c>
      <c r="S21" s="43">
        <f t="shared" si="7"/>
        <v>0</v>
      </c>
    </row>
    <row r="22" spans="2:19" x14ac:dyDescent="0.2">
      <c r="B22" s="42" t="s">
        <v>29</v>
      </c>
      <c r="C22" s="43">
        <f>SUMIF('Entrada AR'!$E$8:$E$43,'Reliquidación AR'!$B22,'Entrada AR'!F$8:F$43)</f>
        <v>1340082</v>
      </c>
      <c r="D22" s="43">
        <f>SUMIF('Entrada AR'!$E$8:$E$43,'Reliquidación AR'!$B22,'Entrada AR'!G$8:G$43)</f>
        <v>7838468</v>
      </c>
      <c r="E22" s="43">
        <f>SUMIF('Entrada AR'!$E$8:$E$43,'Reliquidación AR'!$B22,'Entrada AR'!H$8:H$43)</f>
        <v>739</v>
      </c>
      <c r="F22" s="43">
        <f>SUMIF('Entrada AR'!$E$8:$E$43,'Reliquidación AR'!$B22,'Entrada AR'!I$8:I$43)</f>
        <v>19826</v>
      </c>
      <c r="G22" s="43">
        <f>SUMIF('Entrada AR'!$E$8:$E$43,'Reliquidación AR'!$B22,'Entrada AR'!J$8:J$43)</f>
        <v>-117755171.2047323</v>
      </c>
      <c r="H22" s="43">
        <v>0</v>
      </c>
      <c r="I22" s="43">
        <f t="shared" si="2"/>
        <v>0</v>
      </c>
      <c r="J22" s="43">
        <v>0</v>
      </c>
      <c r="K22" s="43">
        <f t="shared" si="3"/>
        <v>0</v>
      </c>
      <c r="L22" s="43">
        <f>+'Reliquidación TD'!O22</f>
        <v>0</v>
      </c>
      <c r="M22" s="43">
        <f t="shared" si="0"/>
        <v>-117755171.2047323</v>
      </c>
      <c r="N22" s="43">
        <f t="shared" si="4"/>
        <v>117755171.2047323</v>
      </c>
      <c r="O22" s="43">
        <f t="shared" si="5"/>
        <v>0</v>
      </c>
      <c r="P22" s="43">
        <f t="shared" si="1"/>
        <v>117755171.2047323</v>
      </c>
      <c r="Q22" s="43">
        <f t="shared" si="6"/>
        <v>0</v>
      </c>
      <c r="R22" s="43">
        <v>0</v>
      </c>
      <c r="S22" s="43">
        <f t="shared" si="7"/>
        <v>0</v>
      </c>
    </row>
    <row r="23" spans="2:19" x14ac:dyDescent="0.2">
      <c r="B23" s="42" t="s">
        <v>30</v>
      </c>
      <c r="C23" s="43">
        <f>SUMIF('Entrada AR'!$E$8:$E$43,'Reliquidación AR'!$B23,'Entrada AR'!F$8:F$43)</f>
        <v>6403665</v>
      </c>
      <c r="D23" s="43">
        <f>SUMIF('Entrada AR'!$E$8:$E$43,'Reliquidación AR'!$B23,'Entrada AR'!G$8:G$43)</f>
        <v>12660966</v>
      </c>
      <c r="E23" s="43">
        <f>SUMIF('Entrada AR'!$E$8:$E$43,'Reliquidación AR'!$B23,'Entrada AR'!H$8:H$43)</f>
        <v>536317</v>
      </c>
      <c r="F23" s="43">
        <f>SUMIF('Entrada AR'!$E$8:$E$43,'Reliquidación AR'!$B23,'Entrada AR'!I$8:I$43)</f>
        <v>135868</v>
      </c>
      <c r="G23" s="43">
        <f>SUMIF('Entrada AR'!$E$8:$E$43,'Reliquidación AR'!$B23,'Entrada AR'!J$8:J$43)</f>
        <v>31161736.894906148</v>
      </c>
      <c r="H23" s="43">
        <v>8164633.2574955188</v>
      </c>
      <c r="I23" s="43">
        <f t="shared" si="2"/>
        <v>8185516.6506323479</v>
      </c>
      <c r="J23" s="43">
        <v>0</v>
      </c>
      <c r="K23" s="43">
        <f t="shared" si="3"/>
        <v>0</v>
      </c>
      <c r="L23" s="43">
        <f>+'Reliquidación TD'!O23</f>
        <v>0</v>
      </c>
      <c r="M23" s="43">
        <f t="shared" si="0"/>
        <v>39347253.5455385</v>
      </c>
      <c r="N23" s="43">
        <f t="shared" si="4"/>
        <v>0</v>
      </c>
      <c r="O23" s="43">
        <f t="shared" si="5"/>
        <v>39347253.5455385</v>
      </c>
      <c r="P23" s="43">
        <f t="shared" si="1"/>
        <v>-27347258.547199547</v>
      </c>
      <c r="Q23" s="43">
        <f t="shared" si="6"/>
        <v>11999994.998338953</v>
      </c>
      <c r="R23" s="43">
        <v>0</v>
      </c>
      <c r="S23" s="43">
        <f t="shared" si="7"/>
        <v>11999994.998338953</v>
      </c>
    </row>
    <row r="24" spans="2:19" x14ac:dyDescent="0.2">
      <c r="B24" s="42" t="s">
        <v>31</v>
      </c>
      <c r="C24" s="43">
        <f>SUMIF('Entrada AR'!$E$8:$E$43,'Reliquidación AR'!$B24,'Entrada AR'!F$8:F$43)</f>
        <v>1672175</v>
      </c>
      <c r="D24" s="43">
        <f>SUMIF('Entrada AR'!$E$8:$E$43,'Reliquidación AR'!$B24,'Entrada AR'!G$8:G$43)</f>
        <v>13546908</v>
      </c>
      <c r="E24" s="43">
        <f>SUMIF('Entrada AR'!$E$8:$E$43,'Reliquidación AR'!$B24,'Entrada AR'!H$8:H$43)</f>
        <v>234</v>
      </c>
      <c r="F24" s="43">
        <f>SUMIF('Entrada AR'!$E$8:$E$43,'Reliquidación AR'!$B24,'Entrada AR'!I$8:I$43)</f>
        <v>85701</v>
      </c>
      <c r="G24" s="43">
        <f>SUMIF('Entrada AR'!$E$8:$E$43,'Reliquidación AR'!$B24,'Entrada AR'!J$8:J$43)</f>
        <v>24370342.98473933</v>
      </c>
      <c r="H24" s="43">
        <v>7064494.5027756803</v>
      </c>
      <c r="I24" s="43">
        <f t="shared" si="2"/>
        <v>7082563.975262885</v>
      </c>
      <c r="J24" s="43">
        <v>0</v>
      </c>
      <c r="K24" s="43">
        <f t="shared" si="3"/>
        <v>0</v>
      </c>
      <c r="L24" s="43">
        <f>+'Reliquidación TD'!O24</f>
        <v>0</v>
      </c>
      <c r="M24" s="43">
        <f t="shared" si="0"/>
        <v>31452906.960002214</v>
      </c>
      <c r="N24" s="43">
        <f t="shared" si="4"/>
        <v>0</v>
      </c>
      <c r="O24" s="43">
        <f t="shared" si="5"/>
        <v>31452906.960002214</v>
      </c>
      <c r="P24" s="43">
        <f t="shared" si="1"/>
        <v>-21860503.623224888</v>
      </c>
      <c r="Q24" s="43">
        <f t="shared" si="6"/>
        <v>9592403.3367773257</v>
      </c>
      <c r="R24" s="43">
        <v>0</v>
      </c>
      <c r="S24" s="43">
        <f t="shared" si="7"/>
        <v>9592403.3367773257</v>
      </c>
    </row>
    <row r="25" spans="2:19" x14ac:dyDescent="0.2">
      <c r="B25" s="42" t="s">
        <v>32</v>
      </c>
      <c r="C25" s="43">
        <f>SUMIF('Entrada AR'!$E$8:$E$43,'Reliquidación AR'!$B25,'Entrada AR'!F$8:F$43)</f>
        <v>415252</v>
      </c>
      <c r="D25" s="43">
        <f>SUMIF('Entrada AR'!$E$8:$E$43,'Reliquidación AR'!$B25,'Entrada AR'!G$8:G$43)</f>
        <v>2739791</v>
      </c>
      <c r="E25" s="43">
        <f>SUMIF('Entrada AR'!$E$8:$E$43,'Reliquidación AR'!$B25,'Entrada AR'!H$8:H$43)</f>
        <v>165044</v>
      </c>
      <c r="F25" s="43">
        <f>SUMIF('Entrada AR'!$E$8:$E$43,'Reliquidación AR'!$B25,'Entrada AR'!I$8:I$43)</f>
        <v>46882</v>
      </c>
      <c r="G25" s="43">
        <f>SUMIF('Entrada AR'!$E$8:$E$43,'Reliquidación AR'!$B25,'Entrada AR'!J$8:J$43)</f>
        <v>3431559.6467499519</v>
      </c>
      <c r="H25" s="43">
        <v>819551.52421513386</v>
      </c>
      <c r="I25" s="43">
        <f t="shared" si="2"/>
        <v>821647.76248283067</v>
      </c>
      <c r="J25" s="43">
        <v>0</v>
      </c>
      <c r="K25" s="43">
        <f t="shared" si="3"/>
        <v>0</v>
      </c>
      <c r="L25" s="43">
        <f>+'Reliquidación TD'!O25</f>
        <v>0</v>
      </c>
      <c r="M25" s="43">
        <f t="shared" si="0"/>
        <v>4253207.4092327822</v>
      </c>
      <c r="N25" s="43">
        <f t="shared" si="4"/>
        <v>0</v>
      </c>
      <c r="O25" s="43">
        <f t="shared" si="5"/>
        <v>4253207.4092327822</v>
      </c>
      <c r="P25" s="43">
        <f t="shared" si="1"/>
        <v>-2956078.3077410543</v>
      </c>
      <c r="Q25" s="43">
        <f t="shared" si="6"/>
        <v>1297129.1014917279</v>
      </c>
      <c r="R25" s="43">
        <v>0</v>
      </c>
      <c r="S25" s="43">
        <f t="shared" si="7"/>
        <v>1297129.1014917279</v>
      </c>
    </row>
    <row r="26" spans="2:19" x14ac:dyDescent="0.2">
      <c r="B26" s="42" t="s">
        <v>33</v>
      </c>
      <c r="C26" s="43">
        <f>SUMIF('Entrada AR'!$E$8:$E$43,'Reliquidación AR'!$B26,'Entrada AR'!F$8:F$43)</f>
        <v>1101853</v>
      </c>
      <c r="D26" s="43">
        <f>SUMIF('Entrada AR'!$E$8:$E$43,'Reliquidación AR'!$B26,'Entrada AR'!G$8:G$43)</f>
        <v>2017898</v>
      </c>
      <c r="E26" s="43">
        <f>SUMIF('Entrada AR'!$E$8:$E$43,'Reliquidación AR'!$B26,'Entrada AR'!H$8:H$43)</f>
        <v>110826</v>
      </c>
      <c r="F26" s="43">
        <f>SUMIF('Entrada AR'!$E$8:$E$43,'Reliquidación AR'!$B26,'Entrada AR'!I$8:I$43)</f>
        <v>8430</v>
      </c>
      <c r="G26" s="43">
        <f>SUMIF('Entrada AR'!$E$8:$E$43,'Reliquidación AR'!$B26,'Entrada AR'!J$8:J$43)</f>
        <v>5015977.6036299868</v>
      </c>
      <c r="H26" s="43">
        <v>1328004.3626161059</v>
      </c>
      <c r="I26" s="43">
        <f t="shared" si="2"/>
        <v>1331401.1149645934</v>
      </c>
      <c r="J26" s="43">
        <v>0</v>
      </c>
      <c r="K26" s="43">
        <f t="shared" si="3"/>
        <v>0</v>
      </c>
      <c r="L26" s="43">
        <f>+'Reliquidación TD'!O26</f>
        <v>0</v>
      </c>
      <c r="M26" s="43">
        <f t="shared" si="0"/>
        <v>6347378.71859458</v>
      </c>
      <c r="N26" s="43">
        <f t="shared" si="4"/>
        <v>0</v>
      </c>
      <c r="O26" s="43">
        <f t="shared" si="5"/>
        <v>6347378.71859458</v>
      </c>
      <c r="P26" s="43">
        <f t="shared" si="1"/>
        <v>-4411576.1907880446</v>
      </c>
      <c r="Q26" s="43">
        <f t="shared" si="6"/>
        <v>1935802.5278065354</v>
      </c>
      <c r="R26" s="43">
        <v>0</v>
      </c>
      <c r="S26" s="43">
        <f t="shared" si="7"/>
        <v>1935802.5278065354</v>
      </c>
    </row>
    <row r="27" spans="2:19" x14ac:dyDescent="0.2">
      <c r="B27" s="42" t="s">
        <v>34</v>
      </c>
      <c r="C27" s="43">
        <f>SUMIF('Entrada AR'!$E$8:$E$43,'Reliquidación AR'!$B27,'Entrada AR'!F$8:F$43)</f>
        <v>1776419</v>
      </c>
      <c r="D27" s="43">
        <f>SUMIF('Entrada AR'!$E$8:$E$43,'Reliquidación AR'!$B27,'Entrada AR'!G$8:G$43)</f>
        <v>5939205</v>
      </c>
      <c r="E27" s="43">
        <f>SUMIF('Entrada AR'!$E$8:$E$43,'Reliquidación AR'!$B27,'Entrada AR'!H$8:H$43)</f>
        <v>400445</v>
      </c>
      <c r="F27" s="43">
        <f>SUMIF('Entrada AR'!$E$8:$E$43,'Reliquidación AR'!$B27,'Entrada AR'!I$8:I$43)</f>
        <v>98438</v>
      </c>
      <c r="G27" s="43">
        <f>SUMIF('Entrada AR'!$E$8:$E$43,'Reliquidación AR'!$B27,'Entrada AR'!J$8:J$43)</f>
        <v>12123876.28920407</v>
      </c>
      <c r="H27" s="43">
        <v>3642948.4605158884</v>
      </c>
      <c r="I27" s="43">
        <f t="shared" si="2"/>
        <v>3652266.3468775712</v>
      </c>
      <c r="J27" s="43">
        <v>0</v>
      </c>
      <c r="K27" s="43">
        <f t="shared" si="3"/>
        <v>0</v>
      </c>
      <c r="L27" s="43">
        <f>+'Reliquidación TD'!O27</f>
        <v>0</v>
      </c>
      <c r="M27" s="43">
        <f t="shared" si="0"/>
        <v>15776142.636081642</v>
      </c>
      <c r="N27" s="43">
        <f t="shared" si="4"/>
        <v>0</v>
      </c>
      <c r="O27" s="43">
        <f t="shared" si="5"/>
        <v>15776142.636081642</v>
      </c>
      <c r="P27" s="43">
        <f t="shared" si="1"/>
        <v>-10964786.933530264</v>
      </c>
      <c r="Q27" s="43">
        <f t="shared" si="6"/>
        <v>4811355.7025513779</v>
      </c>
      <c r="R27" s="43">
        <v>0</v>
      </c>
      <c r="S27" s="43">
        <f t="shared" si="7"/>
        <v>4811355.7025513779</v>
      </c>
    </row>
    <row r="28" spans="2:19" x14ac:dyDescent="0.2">
      <c r="B28" s="42" t="s">
        <v>35</v>
      </c>
      <c r="C28" s="43">
        <f>SUMIF('Entrada AR'!$E$8:$E$43,'Reliquidación AR'!$B28,'Entrada AR'!F$8:F$43)</f>
        <v>18146722.66</v>
      </c>
      <c r="D28" s="43">
        <f>SUMIF('Entrada AR'!$E$8:$E$43,'Reliquidación AR'!$B28,'Entrada AR'!G$8:G$43)</f>
        <v>65344272.25</v>
      </c>
      <c r="E28" s="43">
        <f>SUMIF('Entrada AR'!$E$8:$E$43,'Reliquidación AR'!$B28,'Entrada AR'!H$8:H$43)</f>
        <v>283367.23</v>
      </c>
      <c r="F28" s="43">
        <f>SUMIF('Entrada AR'!$E$8:$E$43,'Reliquidación AR'!$B28,'Entrada AR'!I$8:I$43)</f>
        <v>110007.8</v>
      </c>
      <c r="G28" s="43">
        <f>SUMIF('Entrada AR'!$E$8:$E$43,'Reliquidación AR'!$B28,'Entrada AR'!J$8:J$43)</f>
        <v>142011857.68886501</v>
      </c>
      <c r="H28" s="43">
        <v>41365900.855270803</v>
      </c>
      <c r="I28" s="43">
        <f t="shared" si="2"/>
        <v>41471706.020398907</v>
      </c>
      <c r="J28" s="43">
        <v>0</v>
      </c>
      <c r="K28" s="43">
        <f t="shared" si="3"/>
        <v>0</v>
      </c>
      <c r="L28" s="43">
        <f>+'Reliquidación TD'!O28</f>
        <v>0</v>
      </c>
      <c r="M28" s="43">
        <f t="shared" si="0"/>
        <v>183483563.70926392</v>
      </c>
      <c r="N28" s="43">
        <f t="shared" si="4"/>
        <v>0</v>
      </c>
      <c r="O28" s="43">
        <f t="shared" si="5"/>
        <v>183483563.70926392</v>
      </c>
      <c r="P28" s="43">
        <f t="shared" si="1"/>
        <v>-127525354.4726187</v>
      </c>
      <c r="Q28" s="43">
        <f t="shared" si="6"/>
        <v>55958209.236645222</v>
      </c>
      <c r="R28" s="43">
        <v>0</v>
      </c>
      <c r="S28" s="43">
        <f t="shared" si="7"/>
        <v>55958209.236645222</v>
      </c>
    </row>
    <row r="29" spans="2:19" x14ac:dyDescent="0.2">
      <c r="B29" s="42" t="s">
        <v>36</v>
      </c>
      <c r="C29" s="43">
        <f>SUMIF('Entrada AR'!$E$8:$E$43,'Reliquidación AR'!$B29,'Entrada AR'!F$8:F$43)</f>
        <v>7623977.3300000001</v>
      </c>
      <c r="D29" s="43">
        <f>SUMIF('Entrada AR'!$E$8:$E$43,'Reliquidación AR'!$B29,'Entrada AR'!G$8:G$43)</f>
        <v>6686820.3399999999</v>
      </c>
      <c r="E29" s="43">
        <f>SUMIF('Entrada AR'!$E$8:$E$43,'Reliquidación AR'!$B29,'Entrada AR'!H$8:H$43)</f>
        <v>128632</v>
      </c>
      <c r="F29" s="43">
        <f>SUMIF('Entrada AR'!$E$8:$E$43,'Reliquidación AR'!$B29,'Entrada AR'!I$8:I$43)</f>
        <v>6261</v>
      </c>
      <c r="G29" s="43">
        <f>SUMIF('Entrada AR'!$E$8:$E$43,'Reliquidación AR'!$B29,'Entrada AR'!J$8:J$43)</f>
        <v>23221567.1981957</v>
      </c>
      <c r="H29" s="43">
        <v>6618955.2359120697</v>
      </c>
      <c r="I29" s="43">
        <f t="shared" si="2"/>
        <v>6635885.1138364365</v>
      </c>
      <c r="J29" s="43">
        <v>0</v>
      </c>
      <c r="K29" s="43">
        <f t="shared" si="3"/>
        <v>0</v>
      </c>
      <c r="L29" s="43">
        <f>+'Reliquidación TD'!O29</f>
        <v>1019.3162297199545</v>
      </c>
      <c r="M29" s="43">
        <f t="shared" si="0"/>
        <v>29857452.312032137</v>
      </c>
      <c r="N29" s="43">
        <f t="shared" si="4"/>
        <v>0</v>
      </c>
      <c r="O29" s="43">
        <f t="shared" si="5"/>
        <v>29857452.312032137</v>
      </c>
      <c r="P29" s="43">
        <f t="shared" si="1"/>
        <v>-20751625.446813609</v>
      </c>
      <c r="Q29" s="43">
        <f t="shared" si="6"/>
        <v>9105826.8652185276</v>
      </c>
      <c r="R29" s="43">
        <v>0</v>
      </c>
      <c r="S29" s="43">
        <f t="shared" si="7"/>
        <v>9105826.8652185276</v>
      </c>
    </row>
    <row r="30" spans="2:19" x14ac:dyDescent="0.2">
      <c r="B30" s="42" t="s">
        <v>37</v>
      </c>
      <c r="C30" s="43">
        <f>SUMIF('Entrada AR'!$E$8:$E$43,'Reliquidación AR'!$B30,'Entrada AR'!F$8:F$43)</f>
        <v>39086898.990000002</v>
      </c>
      <c r="D30" s="43">
        <f>SUMIF('Entrada AR'!$E$8:$E$43,'Reliquidación AR'!$B30,'Entrada AR'!G$8:G$43)</f>
        <v>116325295.42</v>
      </c>
      <c r="E30" s="43">
        <f>SUMIF('Entrada AR'!$E$8:$E$43,'Reliquidación AR'!$B30,'Entrada AR'!H$8:H$43)</f>
        <v>139457.94</v>
      </c>
      <c r="F30" s="43">
        <f>SUMIF('Entrada AR'!$E$8:$E$43,'Reliquidación AR'!$B30,'Entrada AR'!I$8:I$43)</f>
        <v>133164.53</v>
      </c>
      <c r="G30" s="43">
        <f>SUMIF('Entrada AR'!$E$8:$E$43,'Reliquidación AR'!$B30,'Entrada AR'!J$8:J$43)</f>
        <v>245850554.181824</v>
      </c>
      <c r="H30" s="43">
        <v>74044226.27795285</v>
      </c>
      <c r="I30" s="43">
        <f t="shared" si="2"/>
        <v>74233615.640353814</v>
      </c>
      <c r="J30" s="43">
        <v>0</v>
      </c>
      <c r="K30" s="43">
        <f t="shared" si="3"/>
        <v>0</v>
      </c>
      <c r="L30" s="43">
        <f>+'Reliquidación TD'!O30</f>
        <v>0</v>
      </c>
      <c r="M30" s="43">
        <f t="shared" si="0"/>
        <v>320084169.82217783</v>
      </c>
      <c r="N30" s="43">
        <f t="shared" si="4"/>
        <v>0</v>
      </c>
      <c r="O30" s="43">
        <f t="shared" si="5"/>
        <v>320084169.82217783</v>
      </c>
      <c r="P30" s="43">
        <f t="shared" si="1"/>
        <v>-222465960.3970086</v>
      </c>
      <c r="Q30" s="43">
        <f t="shared" si="6"/>
        <v>97618209.42516923</v>
      </c>
      <c r="R30" s="43">
        <v>0</v>
      </c>
      <c r="S30" s="43">
        <f t="shared" si="7"/>
        <v>97618209.42516923</v>
      </c>
    </row>
    <row r="31" spans="2:19" x14ac:dyDescent="0.2">
      <c r="B31" s="42" t="s">
        <v>38</v>
      </c>
      <c r="C31" s="43">
        <f>SUMIF('Entrada AR'!$E$8:$E$43,'Reliquidación AR'!$B31,'Entrada AR'!F$8:F$43)</f>
        <v>1783537</v>
      </c>
      <c r="D31" s="43">
        <f>SUMIF('Entrada AR'!$E$8:$E$43,'Reliquidación AR'!$B31,'Entrada AR'!G$8:G$43)</f>
        <v>2968035</v>
      </c>
      <c r="E31" s="43">
        <f>SUMIF('Entrada AR'!$E$8:$E$43,'Reliquidación AR'!$B31,'Entrada AR'!H$8:H$43)</f>
        <v>51969</v>
      </c>
      <c r="F31" s="43">
        <f>SUMIF('Entrada AR'!$E$8:$E$43,'Reliquidación AR'!$B31,'Entrada AR'!I$8:I$43)</f>
        <v>12553</v>
      </c>
      <c r="G31" s="43">
        <f>SUMIF('Entrada AR'!$E$8:$E$43,'Reliquidación AR'!$B31,'Entrada AR'!J$8:J$43)</f>
        <v>7774298.8706560172</v>
      </c>
      <c r="H31" s="43">
        <v>2037785.1444185367</v>
      </c>
      <c r="I31" s="43">
        <f t="shared" si="2"/>
        <v>2042997.3648523467</v>
      </c>
      <c r="J31" s="43">
        <v>0</v>
      </c>
      <c r="K31" s="43">
        <f t="shared" si="3"/>
        <v>0</v>
      </c>
      <c r="L31" s="43">
        <f>+'Reliquidación TD'!O31</f>
        <v>0</v>
      </c>
      <c r="M31" s="43">
        <f t="shared" si="0"/>
        <v>9817296.2355083637</v>
      </c>
      <c r="N31" s="43">
        <f t="shared" si="4"/>
        <v>0</v>
      </c>
      <c r="O31" s="43">
        <f t="shared" si="5"/>
        <v>9817296.2355083637</v>
      </c>
      <c r="P31" s="43">
        <f t="shared" si="1"/>
        <v>-6823249.7619224042</v>
      </c>
      <c r="Q31" s="43">
        <f t="shared" si="6"/>
        <v>2994046.4735859595</v>
      </c>
      <c r="R31" s="43">
        <v>0</v>
      </c>
      <c r="S31" s="43">
        <f t="shared" si="7"/>
        <v>2994046.4735859595</v>
      </c>
    </row>
    <row r="32" spans="2:19" x14ac:dyDescent="0.2">
      <c r="B32" s="42" t="s">
        <v>39</v>
      </c>
      <c r="C32" s="43">
        <f>SUMIF('Entrada AR'!$E$8:$E$43,'Reliquidación AR'!$B32,'Entrada AR'!F$8:F$43)</f>
        <v>36273940.112099998</v>
      </c>
      <c r="D32" s="43">
        <f>SUMIF('Entrada AR'!$E$8:$E$43,'Reliquidación AR'!$B32,'Entrada AR'!G$8:G$43)</f>
        <v>128248876.10401</v>
      </c>
      <c r="E32" s="43">
        <f>SUMIF('Entrada AR'!$E$8:$E$43,'Reliquidación AR'!$B32,'Entrada AR'!H$8:H$43)</f>
        <v>2332269.7999999998</v>
      </c>
      <c r="F32" s="43">
        <f>SUMIF('Entrada AR'!$E$8:$E$43,'Reliquidación AR'!$B32,'Entrada AR'!I$8:I$43)</f>
        <v>716217</v>
      </c>
      <c r="G32" s="43">
        <f>SUMIF('Entrada AR'!$E$8:$E$43,'Reliquidación AR'!$B32,'Entrada AR'!J$8:J$43)</f>
        <v>280136384.03110921</v>
      </c>
      <c r="H32" s="43">
        <v>83524241.715803921</v>
      </c>
      <c r="I32" s="43">
        <f t="shared" si="2"/>
        <v>83737878.938835993</v>
      </c>
      <c r="J32" s="43">
        <v>0</v>
      </c>
      <c r="K32" s="43">
        <f t="shared" si="3"/>
        <v>0</v>
      </c>
      <c r="L32" s="43">
        <f>+'Reliquidación TD'!O32</f>
        <v>-70847.165606387978</v>
      </c>
      <c r="M32" s="43">
        <f t="shared" si="0"/>
        <v>363874262.96994519</v>
      </c>
      <c r="N32" s="43">
        <f t="shared" si="4"/>
        <v>0</v>
      </c>
      <c r="O32" s="43">
        <f t="shared" si="5"/>
        <v>363874262.96994519</v>
      </c>
      <c r="P32" s="43">
        <f t="shared" si="1"/>
        <v>-252901096.04712394</v>
      </c>
      <c r="Q32" s="43">
        <f t="shared" si="6"/>
        <v>110973166.92282125</v>
      </c>
      <c r="R32" s="43">
        <v>0</v>
      </c>
      <c r="S32" s="43">
        <f t="shared" si="7"/>
        <v>110973166.92282125</v>
      </c>
    </row>
    <row r="33" spans="2:19" x14ac:dyDescent="0.2">
      <c r="B33" s="42" t="s">
        <v>40</v>
      </c>
      <c r="C33" s="43">
        <f>SUMIF('Entrada AR'!$E$8:$E$43,'Reliquidación AR'!$B33,'Entrada AR'!F$8:F$43)</f>
        <v>1423339.4</v>
      </c>
      <c r="D33" s="43">
        <f>SUMIF('Entrada AR'!$E$8:$E$43,'Reliquidación AR'!$B33,'Entrada AR'!G$8:G$43)</f>
        <v>2691623.3</v>
      </c>
      <c r="E33" s="43">
        <f>SUMIF('Entrada AR'!$E$8:$E$43,'Reliquidación AR'!$B33,'Entrada AR'!H$8:H$43)</f>
        <v>50207</v>
      </c>
      <c r="F33" s="43">
        <f>SUMIF('Entrada AR'!$E$8:$E$43,'Reliquidación AR'!$B33,'Entrada AR'!I$8:I$43)</f>
        <v>95861</v>
      </c>
      <c r="G33" s="43">
        <f>SUMIF('Entrada AR'!$E$8:$E$43,'Reliquidación AR'!$B33,'Entrada AR'!J$8:J$43)</f>
        <v>6384290.3751863223</v>
      </c>
      <c r="H33" s="43">
        <v>1384917.8187665837</v>
      </c>
      <c r="I33" s="43">
        <f t="shared" si="2"/>
        <v>1388460.1436156454</v>
      </c>
      <c r="J33" s="43">
        <v>0</v>
      </c>
      <c r="K33" s="43">
        <f t="shared" si="3"/>
        <v>0</v>
      </c>
      <c r="L33" s="43">
        <f>+'Reliquidación TD'!O33</f>
        <v>-935.09113798593569</v>
      </c>
      <c r="M33" s="43">
        <f t="shared" si="0"/>
        <v>7772750.5188019676</v>
      </c>
      <c r="N33" s="43">
        <f t="shared" si="4"/>
        <v>0</v>
      </c>
      <c r="O33" s="43">
        <f t="shared" si="5"/>
        <v>7772750.5188019676</v>
      </c>
      <c r="P33" s="43">
        <f t="shared" si="1"/>
        <v>-5402242.8227308616</v>
      </c>
      <c r="Q33" s="43">
        <f t="shared" si="6"/>
        <v>2370507.696071106</v>
      </c>
      <c r="R33" s="43">
        <v>0</v>
      </c>
      <c r="S33" s="43">
        <f t="shared" si="7"/>
        <v>2370507.696071106</v>
      </c>
    </row>
    <row r="34" spans="2:19" x14ac:dyDescent="0.2">
      <c r="B34" s="42" t="s">
        <v>41</v>
      </c>
      <c r="C34" s="43">
        <f>SUMIF('Entrada AR'!$E$8:$E$43,'Reliquidación AR'!$B34,'Entrada AR'!F$8:F$43)</f>
        <v>1276707</v>
      </c>
      <c r="D34" s="43">
        <f>SUMIF('Entrada AR'!$E$8:$E$43,'Reliquidación AR'!$B34,'Entrada AR'!G$8:G$43)</f>
        <v>8790443.6421000008</v>
      </c>
      <c r="E34" s="43">
        <f>SUMIF('Entrada AR'!$E$8:$E$43,'Reliquidación AR'!$B34,'Entrada AR'!H$8:H$43)</f>
        <v>6255</v>
      </c>
      <c r="F34" s="43">
        <f>SUMIF('Entrada AR'!$E$8:$E$43,'Reliquidación AR'!$B34,'Entrada AR'!I$8:I$43)</f>
        <v>42218</v>
      </c>
      <c r="G34" s="43">
        <f>SUMIF('Entrada AR'!$E$8:$E$43,'Reliquidación AR'!$B34,'Entrada AR'!J$8:J$43)</f>
        <v>16267277.828583149</v>
      </c>
      <c r="H34" s="43">
        <v>4791485.2672638558</v>
      </c>
      <c r="I34" s="43">
        <f t="shared" si="2"/>
        <v>4803740.8661854286</v>
      </c>
      <c r="J34" s="43">
        <v>0</v>
      </c>
      <c r="K34" s="43">
        <f t="shared" si="3"/>
        <v>0</v>
      </c>
      <c r="L34" s="43">
        <f>+'Reliquidación TD'!O34</f>
        <v>-3324.115559525374</v>
      </c>
      <c r="M34" s="43">
        <f t="shared" si="0"/>
        <v>21071018.694768578</v>
      </c>
      <c r="N34" s="43">
        <f t="shared" si="4"/>
        <v>0</v>
      </c>
      <c r="O34" s="43">
        <f t="shared" si="5"/>
        <v>21071018.694768578</v>
      </c>
      <c r="P34" s="43">
        <f t="shared" si="1"/>
        <v>-14644849.237871379</v>
      </c>
      <c r="Q34" s="43">
        <f t="shared" si="6"/>
        <v>6426169.4568971992</v>
      </c>
      <c r="R34" s="43">
        <v>0</v>
      </c>
      <c r="S34" s="43">
        <f t="shared" si="7"/>
        <v>6426169.4568971992</v>
      </c>
    </row>
    <row r="35" spans="2:19" x14ac:dyDescent="0.2">
      <c r="B35" s="42" t="s">
        <v>42</v>
      </c>
      <c r="C35" s="43">
        <f>SUMIF('Entrada AR'!$E$8:$E$43,'Reliquidación AR'!$B35,'Entrada AR'!F$8:F$43)</f>
        <v>4811501.0999999996</v>
      </c>
      <c r="D35" s="43">
        <f>SUMIF('Entrada AR'!$E$8:$E$43,'Reliquidación AR'!$B35,'Entrada AR'!G$8:G$43)</f>
        <v>5595383.0766000003</v>
      </c>
      <c r="E35" s="43">
        <f>SUMIF('Entrada AR'!$E$8:$E$43,'Reliquidación AR'!$B35,'Entrada AR'!H$8:H$43)</f>
        <v>350281.9</v>
      </c>
      <c r="F35" s="43">
        <f>SUMIF('Entrada AR'!$E$8:$E$43,'Reliquidación AR'!$B35,'Entrada AR'!I$8:I$43)</f>
        <v>32102.6001</v>
      </c>
      <c r="G35" s="43">
        <f>SUMIF('Entrada AR'!$E$8:$E$43,'Reliquidación AR'!$B35,'Entrada AR'!J$8:J$43)</f>
        <v>16711422.865665879</v>
      </c>
      <c r="H35" s="43">
        <v>3755713.2801683359</v>
      </c>
      <c r="I35" s="43">
        <f t="shared" si="2"/>
        <v>3765319.5949243554</v>
      </c>
      <c r="J35" s="43">
        <v>0</v>
      </c>
      <c r="K35" s="43">
        <f t="shared" si="3"/>
        <v>0</v>
      </c>
      <c r="L35" s="43">
        <f>+'Reliquidación TD'!O35</f>
        <v>-685.91867343727404</v>
      </c>
      <c r="M35" s="43">
        <f t="shared" si="0"/>
        <v>20476742.460590236</v>
      </c>
      <c r="N35" s="43">
        <f t="shared" si="4"/>
        <v>0</v>
      </c>
      <c r="O35" s="43">
        <f t="shared" si="5"/>
        <v>20476742.460590236</v>
      </c>
      <c r="P35" s="43">
        <f t="shared" si="1"/>
        <v>-14231813.400294503</v>
      </c>
      <c r="Q35" s="43">
        <f t="shared" si="6"/>
        <v>6244929.0602957327</v>
      </c>
      <c r="R35" s="43">
        <v>0</v>
      </c>
      <c r="S35" s="43">
        <f t="shared" si="7"/>
        <v>6244929.0602957327</v>
      </c>
    </row>
    <row r="36" spans="2:19" x14ac:dyDescent="0.2">
      <c r="B36" s="42" t="s">
        <v>43</v>
      </c>
      <c r="C36" s="43">
        <f>SUMIF('Entrada AR'!$E$8:$E$43,'Reliquidación AR'!$B36,'Entrada AR'!F$8:F$43)</f>
        <v>4149649.6000999999</v>
      </c>
      <c r="D36" s="43">
        <f>SUMIF('Entrada AR'!$E$8:$E$43,'Reliquidación AR'!$B36,'Entrada AR'!G$8:G$43)</f>
        <v>4140508.7782999999</v>
      </c>
      <c r="E36" s="43">
        <f>SUMIF('Entrada AR'!$E$8:$E$43,'Reliquidación AR'!$B36,'Entrada AR'!H$8:H$43)</f>
        <v>399746</v>
      </c>
      <c r="F36" s="43">
        <f>SUMIF('Entrada AR'!$E$8:$E$43,'Reliquidación AR'!$B36,'Entrada AR'!I$8:I$43)</f>
        <v>76905.2</v>
      </c>
      <c r="G36" s="43">
        <f>SUMIF('Entrada AR'!$E$8:$E$43,'Reliquidación AR'!$B36,'Entrada AR'!J$8:J$43)</f>
        <v>12764421.472878611</v>
      </c>
      <c r="H36" s="43">
        <v>2603871.3709320035</v>
      </c>
      <c r="I36" s="43">
        <f t="shared" si="2"/>
        <v>2610531.5193798211</v>
      </c>
      <c r="J36" s="43">
        <v>0</v>
      </c>
      <c r="K36" s="43">
        <f t="shared" si="3"/>
        <v>0</v>
      </c>
      <c r="L36" s="43">
        <f>+'Reliquidación TD'!O36</f>
        <v>-7484.045333892197</v>
      </c>
      <c r="M36" s="43">
        <f t="shared" si="0"/>
        <v>15374952.992258431</v>
      </c>
      <c r="N36" s="43">
        <f t="shared" si="4"/>
        <v>0</v>
      </c>
      <c r="O36" s="43">
        <f t="shared" si="5"/>
        <v>15374952.992258431</v>
      </c>
      <c r="P36" s="43">
        <f t="shared" si="1"/>
        <v>-10685950.777827695</v>
      </c>
      <c r="Q36" s="43">
        <f t="shared" si="6"/>
        <v>4689002.2144307364</v>
      </c>
      <c r="R36" s="43">
        <v>0</v>
      </c>
      <c r="S36" s="43">
        <f t="shared" si="7"/>
        <v>4689002.2144307364</v>
      </c>
    </row>
    <row r="37" spans="2:19" x14ac:dyDescent="0.2">
      <c r="B37" s="42" t="s">
        <v>45</v>
      </c>
      <c r="C37" s="43">
        <f>SUMIF('Entrada AR'!$E$8:$E$43,'Reliquidación AR'!$B37,'Entrada AR'!F$8:F$43)</f>
        <v>615895</v>
      </c>
      <c r="D37" s="43">
        <f>SUMIF('Entrada AR'!$E$8:$E$43,'Reliquidación AR'!$B37,'Entrada AR'!G$8:G$43)</f>
        <v>789659</v>
      </c>
      <c r="E37" s="43">
        <f>SUMIF('Entrada AR'!$E$8:$E$43,'Reliquidación AR'!$B37,'Entrada AR'!H$8:H$43)</f>
        <v>56693</v>
      </c>
      <c r="F37" s="43">
        <f>SUMIF('Entrada AR'!$E$8:$E$43,'Reliquidación AR'!$B37,'Entrada AR'!I$8:I$43)</f>
        <v>12236</v>
      </c>
      <c r="G37" s="43">
        <f>SUMIF('Entrada AR'!$E$8:$E$43,'Reliquidación AR'!$B37,'Entrada AR'!J$8:J$43)</f>
        <v>2302181.3670463068</v>
      </c>
      <c r="H37" s="43">
        <v>760709.70728328265</v>
      </c>
      <c r="I37" s="43">
        <f t="shared" si="2"/>
        <v>762655.44071418908</v>
      </c>
      <c r="J37" s="43">
        <v>0</v>
      </c>
      <c r="K37" s="43">
        <f t="shared" si="3"/>
        <v>0</v>
      </c>
      <c r="L37" s="43">
        <f>+'Reliquidación TD'!O37</f>
        <v>0</v>
      </c>
      <c r="M37" s="43">
        <f t="shared" si="0"/>
        <v>3064836.8077604957</v>
      </c>
      <c r="N37" s="43">
        <f t="shared" si="4"/>
        <v>0</v>
      </c>
      <c r="O37" s="43">
        <f t="shared" si="5"/>
        <v>3064836.8077604957</v>
      </c>
      <c r="P37" s="43">
        <f t="shared" si="1"/>
        <v>-2130133.0343119609</v>
      </c>
      <c r="Q37" s="43">
        <f t="shared" si="6"/>
        <v>934703.77344853478</v>
      </c>
      <c r="R37" s="43">
        <v>0</v>
      </c>
      <c r="S37" s="43">
        <f t="shared" si="7"/>
        <v>934703.77344853478</v>
      </c>
    </row>
    <row r="38" spans="2:19" x14ac:dyDescent="0.2">
      <c r="B38" s="42" t="s">
        <v>46</v>
      </c>
      <c r="C38" s="43">
        <f>SUMIF('Entrada AR'!$E$8:$E$43,'Reliquidación AR'!$B38,'Entrada AR'!F$8:F$43)</f>
        <v>4020505.8080000002</v>
      </c>
      <c r="D38" s="43">
        <f>SUMIF('Entrada AR'!$E$8:$E$43,'Reliquidación AR'!$B38,'Entrada AR'!G$8:G$43)</f>
        <v>17385830.765000001</v>
      </c>
      <c r="E38" s="43">
        <f>SUMIF('Entrada AR'!$E$8:$E$43,'Reliquidación AR'!$B38,'Entrada AR'!H$8:H$43)</f>
        <v>11442.5</v>
      </c>
      <c r="F38" s="43">
        <f>SUMIF('Entrada AR'!$E$8:$E$43,'Reliquidación AR'!$B38,'Entrada AR'!I$8:I$43)</f>
        <v>28832.008999999998</v>
      </c>
      <c r="G38" s="43">
        <f>SUMIF('Entrada AR'!$E$8:$E$43,'Reliquidación AR'!$B38,'Entrada AR'!J$8:J$43)</f>
        <v>35674008.078252949</v>
      </c>
      <c r="H38" s="43">
        <v>10520844.049509756</v>
      </c>
      <c r="I38" s="43">
        <f t="shared" si="2"/>
        <v>10547754.128075194</v>
      </c>
      <c r="J38" s="43">
        <v>0</v>
      </c>
      <c r="K38" s="43">
        <f t="shared" si="3"/>
        <v>0</v>
      </c>
      <c r="L38" s="43">
        <f>+'Reliquidación TD'!O38</f>
        <v>449191.50630082685</v>
      </c>
      <c r="M38" s="43">
        <f t="shared" si="0"/>
        <v>46221762.206328139</v>
      </c>
      <c r="N38" s="43">
        <f>IF(M38&lt;0,-M38,0)</f>
        <v>0</v>
      </c>
      <c r="O38" s="43">
        <f>IF(M38&gt;0,M38,0)</f>
        <v>46221762.206328139</v>
      </c>
      <c r="P38" s="43">
        <f t="shared" si="1"/>
        <v>-32125202.337202486</v>
      </c>
      <c r="Q38" s="43">
        <f t="shared" si="6"/>
        <v>14096559.869125653</v>
      </c>
      <c r="R38" s="43">
        <v>0</v>
      </c>
      <c r="S38" s="43">
        <f t="shared" si="7"/>
        <v>14096559.869125653</v>
      </c>
    </row>
    <row r="39" spans="2:19" x14ac:dyDescent="0.2">
      <c r="B39" s="42" t="s">
        <v>47</v>
      </c>
      <c r="C39" s="43">
        <f>SUMIF('Entrada AR'!$E$8:$E$43,'Reliquidación AR'!$B39,'Entrada AR'!F$8:F$43)</f>
        <v>5415989.6499999994</v>
      </c>
      <c r="D39" s="43">
        <f>SUMIF('Entrada AR'!$E$8:$E$43,'Reliquidación AR'!$B39,'Entrada AR'!G$8:G$43)</f>
        <v>26615885.381000001</v>
      </c>
      <c r="E39" s="43">
        <f>SUMIF('Entrada AR'!$E$8:$E$43,'Reliquidación AR'!$B39,'Entrada AR'!H$8:H$43)</f>
        <v>22564.501</v>
      </c>
      <c r="F39" s="43">
        <f>SUMIF('Entrada AR'!$E$8:$E$43,'Reliquidación AR'!$B39,'Entrada AR'!I$8:I$43)</f>
        <v>23740.393</v>
      </c>
      <c r="G39" s="43">
        <f>SUMIF('Entrada AR'!$E$8:$E$43,'Reliquidación AR'!$B39,'Entrada AR'!J$8:J$43)</f>
        <v>53489582.333229348</v>
      </c>
      <c r="H39" s="43">
        <v>16817695.788635969</v>
      </c>
      <c r="I39" s="43">
        <f t="shared" si="2"/>
        <v>16860711.872975979</v>
      </c>
      <c r="J39" s="43">
        <v>0</v>
      </c>
      <c r="K39" s="43">
        <f t="shared" si="3"/>
        <v>0</v>
      </c>
      <c r="L39" s="43">
        <f>+'Reliquidación TD'!O39</f>
        <v>-12980.190509066688</v>
      </c>
      <c r="M39" s="43">
        <f t="shared" si="0"/>
        <v>70350294.206205323</v>
      </c>
      <c r="N39" s="43">
        <f t="shared" si="4"/>
        <v>0</v>
      </c>
      <c r="O39" s="43">
        <f t="shared" si="5"/>
        <v>70350294.206205323</v>
      </c>
      <c r="P39" s="43">
        <f t="shared" si="1"/>
        <v>-48895094.604304269</v>
      </c>
      <c r="Q39" s="43">
        <f t="shared" si="6"/>
        <v>21455199.601901054</v>
      </c>
      <c r="R39" s="43">
        <v>0</v>
      </c>
      <c r="S39" s="43">
        <f t="shared" si="7"/>
        <v>21455199.601901054</v>
      </c>
    </row>
    <row r="40" spans="2:19" x14ac:dyDescent="0.2">
      <c r="B40" s="42" t="s">
        <v>48</v>
      </c>
      <c r="C40" s="43">
        <f>SUMIF('Entrada AR'!$E$8:$E$43,'Reliquidación AR'!$B40,'Entrada AR'!F$8:F$43)</f>
        <v>12467732.339</v>
      </c>
      <c r="D40" s="43">
        <f>SUMIF('Entrada AR'!$E$8:$E$43,'Reliquidación AR'!$B40,'Entrada AR'!G$8:G$43)</f>
        <v>48478175.480999999</v>
      </c>
      <c r="E40" s="43">
        <f>SUMIF('Entrada AR'!$E$8:$E$43,'Reliquidación AR'!$B40,'Entrada AR'!H$8:H$43)</f>
        <v>38307.54</v>
      </c>
      <c r="F40" s="43">
        <f>SUMIF('Entrada AR'!$E$8:$E$43,'Reliquidación AR'!$B40,'Entrada AR'!I$8:I$43)</f>
        <v>77095.680999999997</v>
      </c>
      <c r="G40" s="43">
        <f>SUMIF('Entrada AR'!$E$8:$E$43,'Reliquidación AR'!$B40,'Entrada AR'!J$8:J$43)</f>
        <v>100774335.2669661</v>
      </c>
      <c r="H40" s="43">
        <v>32930508.451479077</v>
      </c>
      <c r="I40" s="43">
        <f t="shared" si="2"/>
        <v>33014737.679234847</v>
      </c>
      <c r="J40" s="43">
        <v>0</v>
      </c>
      <c r="K40" s="43">
        <f t="shared" si="3"/>
        <v>0</v>
      </c>
      <c r="L40" s="43">
        <f>+'Reliquidación TD'!O40</f>
        <v>17905.090280199594</v>
      </c>
      <c r="M40" s="43">
        <f t="shared" si="0"/>
        <v>133789072.94620095</v>
      </c>
      <c r="N40" s="43">
        <f t="shared" si="4"/>
        <v>0</v>
      </c>
      <c r="O40" s="43">
        <f t="shared" si="5"/>
        <v>133789072.94620095</v>
      </c>
      <c r="P40" s="43">
        <f t="shared" si="1"/>
        <v>-92986524.826070279</v>
      </c>
      <c r="Q40" s="43">
        <f t="shared" si="6"/>
        <v>40802548.120130673</v>
      </c>
      <c r="R40" s="43">
        <v>0</v>
      </c>
      <c r="S40" s="43">
        <f t="shared" si="7"/>
        <v>40802548.120130673</v>
      </c>
    </row>
    <row r="41" spans="2:19" x14ac:dyDescent="0.2">
      <c r="B41" s="42" t="s">
        <v>49</v>
      </c>
      <c r="C41" s="43">
        <f>SUMIF('Entrada AR'!$E$8:$E$43,'Reliquidación AR'!$B41,'Entrada AR'!F$8:F$43)</f>
        <v>0</v>
      </c>
      <c r="D41" s="43">
        <f>SUMIF('Entrada AR'!$E$8:$E$43,'Reliquidación AR'!$B41,'Entrada AR'!G$8:G$43)</f>
        <v>0</v>
      </c>
      <c r="E41" s="43">
        <f>SUMIF('Entrada AR'!$E$8:$E$43,'Reliquidación AR'!$B41,'Entrada AR'!H$8:H$43)</f>
        <v>0</v>
      </c>
      <c r="F41" s="43">
        <f>SUMIF('Entrada AR'!$E$8:$E$43,'Reliquidación AR'!$B41,'Entrada AR'!I$8:I$43)</f>
        <v>0</v>
      </c>
      <c r="G41" s="43">
        <f>SUMIF('Entrada AR'!$E$8:$E$43,'Reliquidación AR'!$B41,'Entrada AR'!J$8:J$43)</f>
        <v>0</v>
      </c>
      <c r="H41" s="43">
        <v>0</v>
      </c>
      <c r="I41" s="43">
        <f>H41*($I$4+1)</f>
        <v>0</v>
      </c>
      <c r="J41" s="43">
        <v>0</v>
      </c>
      <c r="K41" s="43">
        <f t="shared" si="3"/>
        <v>0</v>
      </c>
      <c r="L41" s="43">
        <f>+'Reliquidación TD'!O41</f>
        <v>0</v>
      </c>
      <c r="M41" s="43">
        <f t="shared" si="0"/>
        <v>0</v>
      </c>
      <c r="N41" s="43">
        <f>IF(M41&lt;0,-M41,0)</f>
        <v>0</v>
      </c>
      <c r="O41" s="43">
        <f>IF(M41&gt;0,M41,0)</f>
        <v>0</v>
      </c>
      <c r="P41" s="43">
        <f t="shared" si="1"/>
        <v>0</v>
      </c>
      <c r="Q41" s="43">
        <f>M41+P41</f>
        <v>0</v>
      </c>
      <c r="R41" s="43">
        <v>0</v>
      </c>
      <c r="S41" s="43">
        <f t="shared" si="7"/>
        <v>0</v>
      </c>
    </row>
    <row r="42" spans="2:19" x14ac:dyDescent="0.2">
      <c r="B42" s="42" t="s">
        <v>50</v>
      </c>
      <c r="C42" s="43">
        <f>SUMIF('Entrada AR'!$E$8:$E$43,'Reliquidación AR'!$B42,'Entrada AR'!F$8:F$43)</f>
        <v>0</v>
      </c>
      <c r="D42" s="43">
        <f>SUMIF('Entrada AR'!$E$8:$E$43,'Reliquidación AR'!$B42,'Entrada AR'!G$8:G$43)</f>
        <v>7376</v>
      </c>
      <c r="E42" s="43">
        <f>SUMIF('Entrada AR'!$E$8:$E$43,'Reliquidación AR'!$B42,'Entrada AR'!H$8:H$43)</f>
        <v>0</v>
      </c>
      <c r="F42" s="43">
        <f>SUMIF('Entrada AR'!$E$8:$E$43,'Reliquidación AR'!$B42,'Entrada AR'!I$8:I$43)</f>
        <v>0</v>
      </c>
      <c r="G42" s="43">
        <f>SUMIF('Entrada AR'!$E$8:$E$43,'Reliquidación AR'!$B42,'Entrada AR'!J$8:J$43)</f>
        <v>12915.44998128</v>
      </c>
      <c r="H42" s="43">
        <v>3027.3097626592698</v>
      </c>
      <c r="I42" s="43">
        <f>H42*($I$4+1)</f>
        <v>3035.0529763379168</v>
      </c>
      <c r="J42" s="43">
        <v>10303.916710663554</v>
      </c>
      <c r="K42" s="43">
        <f t="shared" si="3"/>
        <v>10330.271935292951</v>
      </c>
      <c r="L42" s="43">
        <f>+'Reliquidación TD'!O42</f>
        <v>0</v>
      </c>
      <c r="M42" s="43">
        <f t="shared" si="0"/>
        <v>26280.774892910867</v>
      </c>
      <c r="N42" s="43">
        <f>IF(M42&lt;0,-M42,0)</f>
        <v>0</v>
      </c>
      <c r="O42" s="43">
        <f>IF(M42&gt;0,M42,0)</f>
        <v>26280.774892910867</v>
      </c>
      <c r="P42" s="43">
        <f t="shared" si="1"/>
        <v>-18265.751254668616</v>
      </c>
      <c r="Q42" s="43">
        <f>M42+P42</f>
        <v>8015.0236382422518</v>
      </c>
      <c r="R42" s="43">
        <v>0</v>
      </c>
      <c r="S42" s="43">
        <f t="shared" si="7"/>
        <v>8015.0236382422518</v>
      </c>
    </row>
    <row r="43" spans="2:19" x14ac:dyDescent="0.2">
      <c r="B43" s="44" t="s">
        <v>51</v>
      </c>
      <c r="C43" s="45">
        <f>SUMIF('Entrada AR'!$E$8:$E$43,'Reliquidación AR'!$B43,'Entrada AR'!F$8:F$43)</f>
        <v>30000.9</v>
      </c>
      <c r="D43" s="45">
        <f>SUMIF('Entrada AR'!$E$8:$E$43,'Reliquidación AR'!$B43,'Entrada AR'!G$8:G$43)</f>
        <v>49706.2</v>
      </c>
      <c r="E43" s="45">
        <f>SUMIF('Entrada AR'!$E$8:$E$43,'Reliquidación AR'!$B43,'Entrada AR'!H$8:H$43)</f>
        <v>0</v>
      </c>
      <c r="F43" s="45">
        <f>SUMIF('Entrada AR'!$E$8:$E$43,'Reliquidación AR'!$B43,'Entrada AR'!I$8:I$43)</f>
        <v>0</v>
      </c>
      <c r="G43" s="45">
        <f>SUMIF('Entrada AR'!$E$8:$E$43,'Reliquidación AR'!$B43,'Entrada AR'!J$8:J$43)</f>
        <v>135448.30084711089</v>
      </c>
      <c r="H43" s="45">
        <v>37890.374704497488</v>
      </c>
      <c r="I43" s="45">
        <f>H43*($I$4+1)</f>
        <v>37987.290213878063</v>
      </c>
      <c r="J43" s="45">
        <v>0</v>
      </c>
      <c r="K43" s="45">
        <f t="shared" si="3"/>
        <v>0</v>
      </c>
      <c r="L43" s="45">
        <f>+'Reliquidación TD'!O43</f>
        <v>0</v>
      </c>
      <c r="M43" s="45">
        <f t="shared" si="0"/>
        <v>173435.59106098895</v>
      </c>
      <c r="N43" s="45">
        <f t="shared" si="4"/>
        <v>0</v>
      </c>
      <c r="O43" s="45">
        <f t="shared" si="5"/>
        <v>173435.59106098895</v>
      </c>
      <c r="P43" s="45">
        <f>IF(OR($N$44=0,$O$44=0),0,(N43/$N$44-O43/$O$44)*$O$49)</f>
        <v>-120541.77922588533</v>
      </c>
      <c r="Q43" s="45">
        <f t="shared" si="6"/>
        <v>52893.811835103625</v>
      </c>
      <c r="R43" s="45">
        <v>0</v>
      </c>
      <c r="S43" s="45">
        <f t="shared" si="7"/>
        <v>52893.811835103625</v>
      </c>
    </row>
    <row r="44" spans="2:19" x14ac:dyDescent="0.2">
      <c r="B44" s="46" t="s">
        <v>66</v>
      </c>
      <c r="C44" s="16">
        <f t="shared" ref="C44:Q44" si="8">SUM(C9:C43)</f>
        <v>456949536.07419991</v>
      </c>
      <c r="D44" s="16">
        <f t="shared" si="8"/>
        <v>1620563581.3066113</v>
      </c>
      <c r="E44" s="16">
        <f t="shared" si="8"/>
        <v>12772706.318999998</v>
      </c>
      <c r="F44" s="16">
        <f t="shared" si="8"/>
        <v>4990482.6930999998</v>
      </c>
      <c r="G44" s="16">
        <f t="shared" si="8"/>
        <v>197046412.51083094</v>
      </c>
      <c r="H44" s="16">
        <f t="shared" si="8"/>
        <v>653524263.93749464</v>
      </c>
      <c r="I44" s="16">
        <f t="shared" si="8"/>
        <v>655195839.83047605</v>
      </c>
      <c r="J44" s="16">
        <f t="shared" si="8"/>
        <v>10303.916710663554</v>
      </c>
      <c r="K44" s="16">
        <f t="shared" si="8"/>
        <v>10330.271935292951</v>
      </c>
      <c r="L44" s="16">
        <f t="shared" si="8"/>
        <v>-3.5652192309498787E-10</v>
      </c>
      <c r="M44" s="16">
        <f>SUM(M9:M43)</f>
        <v>852252582.61324227</v>
      </c>
      <c r="N44" s="16">
        <f t="shared" si="8"/>
        <v>1942231786.55233</v>
      </c>
      <c r="O44" s="16">
        <f>SUM(O9:O43)</f>
        <v>2794484369.1655726</v>
      </c>
      <c r="P44" s="16">
        <f t="shared" si="8"/>
        <v>5.0142989493906498E-7</v>
      </c>
      <c r="Q44" s="16">
        <f t="shared" si="8"/>
        <v>852252582.61324239</v>
      </c>
      <c r="R44" s="16">
        <f t="shared" ref="R44:S44" si="9">SUM(R9:R43)</f>
        <v>0</v>
      </c>
      <c r="S44" s="16">
        <f t="shared" si="9"/>
        <v>852252582.61324239</v>
      </c>
    </row>
    <row r="45" spans="2:19" x14ac:dyDescent="0.2">
      <c r="B45" s="50"/>
      <c r="C45"/>
      <c r="D45"/>
      <c r="E45"/>
      <c r="F45"/>
      <c r="G45"/>
      <c r="H45"/>
      <c r="I45"/>
      <c r="J45"/>
      <c r="K45"/>
      <c r="L45"/>
      <c r="M45"/>
      <c r="N45" s="51"/>
      <c r="O45" s="51"/>
      <c r="P45"/>
    </row>
    <row r="46" spans="2:19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9" x14ac:dyDescent="0.2">
      <c r="B47"/>
      <c r="C47"/>
      <c r="H47" s="58"/>
      <c r="I47" s="17"/>
      <c r="J47" s="17"/>
      <c r="K47" s="17"/>
      <c r="L47" s="17"/>
      <c r="M47" s="17"/>
      <c r="N47" s="7" t="s">
        <v>75</v>
      </c>
      <c r="O47" s="53">
        <f>O44</f>
        <v>2794484369.1655726</v>
      </c>
      <c r="P47"/>
    </row>
    <row r="48" spans="2:19" x14ac:dyDescent="0.2">
      <c r="B48"/>
      <c r="C48"/>
      <c r="H48" s="52"/>
      <c r="I48" s="17"/>
      <c r="J48" s="17"/>
      <c r="K48" s="17"/>
      <c r="L48" s="17"/>
      <c r="M48" s="17"/>
      <c r="N48" s="7" t="s">
        <v>76</v>
      </c>
      <c r="O48" s="53">
        <f>N44</f>
        <v>1942231786.55233</v>
      </c>
      <c r="P48"/>
      <c r="Q48" s="54"/>
    </row>
    <row r="49" spans="2:17" x14ac:dyDescent="0.2">
      <c r="B49"/>
      <c r="C49"/>
      <c r="H49" s="52"/>
      <c r="I49"/>
      <c r="J49"/>
      <c r="K49"/>
      <c r="L49"/>
      <c r="M49"/>
      <c r="N49" s="7" t="s">
        <v>69</v>
      </c>
      <c r="O49" s="53">
        <f>+IF(O48&lt;O47,O48,O47)</f>
        <v>1942231786.55233</v>
      </c>
      <c r="P49"/>
      <c r="Q49" s="54"/>
    </row>
    <row r="50" spans="2:17" x14ac:dyDescent="0.2">
      <c r="B50"/>
      <c r="N50" s="17"/>
      <c r="O50"/>
    </row>
    <row r="51" spans="2:17" x14ac:dyDescent="0.2">
      <c r="B51"/>
      <c r="G51" s="54"/>
      <c r="J51"/>
    </row>
    <row r="52" spans="2:17" x14ac:dyDescent="0.2">
      <c r="B52"/>
    </row>
    <row r="53" spans="2:17" x14ac:dyDescent="0.2">
      <c r="B53"/>
    </row>
    <row r="54" spans="2:17" x14ac:dyDescent="0.2">
      <c r="B54"/>
    </row>
    <row r="55" spans="2:17" x14ac:dyDescent="0.2">
      <c r="B55"/>
    </row>
    <row r="56" spans="2:17" x14ac:dyDescent="0.2">
      <c r="B56"/>
    </row>
    <row r="57" spans="2:17" x14ac:dyDescent="0.2">
      <c r="B57"/>
    </row>
    <row r="58" spans="2:17" x14ac:dyDescent="0.2">
      <c r="B58"/>
    </row>
    <row r="59" spans="2:17" x14ac:dyDescent="0.2">
      <c r="B59"/>
    </row>
    <row r="60" spans="2:17" x14ac:dyDescent="0.2">
      <c r="B60"/>
    </row>
    <row r="61" spans="2:17" x14ac:dyDescent="0.2">
      <c r="B61"/>
    </row>
    <row r="62" spans="2:17" x14ac:dyDescent="0.2">
      <c r="B62"/>
    </row>
    <row r="63" spans="2:17" x14ac:dyDescent="0.2">
      <c r="B63"/>
    </row>
    <row r="64" spans="2:17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</sheetData>
  <dataConsolidate/>
  <mergeCells count="18"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4FB4-0CD1-483B-A578-A4DF754D6D30}">
  <sheetPr codeName="Hoja1">
    <tabColor theme="8" tint="0.59999389629810485"/>
  </sheetPr>
  <dimension ref="A2:S76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20"/>
    <col min="2" max="2" width="24" style="20" customWidth="1"/>
    <col min="3" max="3" width="17.5703125" style="20" customWidth="1"/>
    <col min="4" max="4" width="12.85546875" style="20" bestFit="1" customWidth="1"/>
    <col min="5" max="5" width="15.5703125" style="20" customWidth="1"/>
    <col min="6" max="6" width="20" style="20" customWidth="1"/>
    <col min="7" max="7" width="26.5703125" style="20" customWidth="1"/>
    <col min="8" max="8" width="20.140625" style="20" customWidth="1"/>
    <col min="9" max="9" width="8" style="20" customWidth="1"/>
    <col min="10" max="10" width="15.140625" style="20" customWidth="1"/>
    <col min="11" max="11" width="15.42578125" style="20" customWidth="1"/>
    <col min="12" max="12" width="16.5703125" style="20" customWidth="1"/>
    <col min="13" max="13" width="14.85546875" style="20" customWidth="1"/>
    <col min="14" max="14" width="20.28515625" style="20" customWidth="1"/>
    <col min="15" max="15" width="15.140625" style="20" customWidth="1"/>
    <col min="16" max="16" width="10.85546875" style="20" bestFit="1" customWidth="1"/>
    <col min="17" max="17" width="15.42578125" style="20" customWidth="1"/>
    <col min="18" max="18" width="12.85546875" style="20" customWidth="1"/>
    <col min="19" max="19" width="13.140625" style="20" customWidth="1"/>
    <col min="20" max="16384" width="11.42578125" style="20"/>
  </cols>
  <sheetData>
    <row r="2" spans="1:16" x14ac:dyDescent="0.2">
      <c r="B2" s="25" t="s">
        <v>77</v>
      </c>
      <c r="C2" s="25"/>
      <c r="D2" s="25"/>
      <c r="E2" s="25"/>
      <c r="F2" s="25"/>
      <c r="G2" s="25"/>
      <c r="H2" s="25"/>
      <c r="I2" s="25"/>
      <c r="J2" s="25"/>
    </row>
    <row r="3" spans="1:16" x14ac:dyDescent="0.2">
      <c r="B3" s="21">
        <f>FechaFacturacion</f>
        <v>45597</v>
      </c>
      <c r="C3" s="59"/>
      <c r="D3" s="59"/>
      <c r="E3" s="59"/>
      <c r="F3" s="59"/>
      <c r="G3" s="59"/>
      <c r="H3" s="59"/>
      <c r="I3" s="59"/>
      <c r="J3" s="59"/>
    </row>
    <row r="6" spans="1:16" ht="12.75" customHeight="1" x14ac:dyDescent="0.2">
      <c r="B6" s="30" t="s">
        <v>6</v>
      </c>
      <c r="C6" s="29" t="s">
        <v>78</v>
      </c>
      <c r="D6" s="60"/>
      <c r="E6" s="60"/>
      <c r="F6" s="30" t="s">
        <v>6</v>
      </c>
      <c r="G6" s="29" t="s">
        <v>79</v>
      </c>
      <c r="H6" s="29" t="s">
        <v>80</v>
      </c>
      <c r="I6" s="60"/>
      <c r="J6" s="29" t="s">
        <v>81</v>
      </c>
      <c r="K6" s="61" cm="1">
        <f t="array" ref="K6">SUMPRODUCT(($H$8:$H$32&gt;0)*($H$8:$H$32))</f>
        <v>2091107874.3750472</v>
      </c>
      <c r="N6" s="62"/>
      <c r="O6"/>
    </row>
    <row r="7" spans="1:16" ht="26.25" customHeight="1" x14ac:dyDescent="0.2">
      <c r="B7" s="30"/>
      <c r="C7" s="34"/>
      <c r="D7" s="60"/>
      <c r="E7" s="60"/>
      <c r="F7" s="30"/>
      <c r="G7" s="34"/>
      <c r="H7" s="34"/>
      <c r="I7"/>
      <c r="J7" s="34"/>
      <c r="K7" s="63"/>
      <c r="M7"/>
      <c r="N7"/>
      <c r="O7"/>
      <c r="P7"/>
    </row>
    <row r="8" spans="1:16" x14ac:dyDescent="0.2">
      <c r="B8" s="40" t="s">
        <v>14</v>
      </c>
      <c r="C8" s="41">
        <f>'Reliquidación AR'!$P9+'Reliquidación AR'!L9</f>
        <v>8980286.0310871005</v>
      </c>
      <c r="D8" s="64"/>
      <c r="E8" s="64"/>
      <c r="F8" s="40" t="s">
        <v>14</v>
      </c>
      <c r="G8" s="43">
        <v>1937706.3608901724</v>
      </c>
      <c r="H8" s="43">
        <f>VLOOKUP(F8,$B$8:$C$42,2,0)+G8</f>
        <v>10917992.391977273</v>
      </c>
      <c r="I8" s="65"/>
      <c r="J8"/>
      <c r="K8"/>
      <c r="M8"/>
      <c r="N8"/>
      <c r="O8"/>
      <c r="P8"/>
    </row>
    <row r="9" spans="1:16" x14ac:dyDescent="0.2">
      <c r="B9" s="42" t="s">
        <v>15</v>
      </c>
      <c r="C9" s="43">
        <f>'Reliquidación AR'!$P10+'Reliquidación AR'!L10</f>
        <v>32076418.027065724</v>
      </c>
      <c r="D9" s="64"/>
      <c r="E9" s="64"/>
      <c r="F9" s="42" t="s">
        <v>15</v>
      </c>
      <c r="G9" s="43">
        <v>2949377.2725522071</v>
      </c>
      <c r="H9" s="43">
        <f>VLOOKUP(F9,$B$8:$C$42,2,0)+G9</f>
        <v>35025795.299617931</v>
      </c>
      <c r="I9" s="65"/>
      <c r="J9"/>
      <c r="K9"/>
      <c r="M9"/>
      <c r="N9"/>
      <c r="O9"/>
      <c r="P9"/>
    </row>
    <row r="10" spans="1:16" x14ac:dyDescent="0.2">
      <c r="B10" s="42" t="s">
        <v>16</v>
      </c>
      <c r="C10" s="43">
        <f>'Reliquidación AR'!$P11+'Reliquidación AR'!L11</f>
        <v>-12154202.066077644</v>
      </c>
      <c r="D10" s="64"/>
      <c r="E10" s="64"/>
      <c r="F10" s="42" t="s">
        <v>16</v>
      </c>
      <c r="G10" s="43">
        <v>0</v>
      </c>
      <c r="H10" s="43">
        <f>VLOOKUP(F10,$B$8:$C$42,2,0)+G10</f>
        <v>-12154202.066077644</v>
      </c>
      <c r="I10" s="65"/>
      <c r="J10"/>
      <c r="K10"/>
      <c r="M10"/>
      <c r="N10"/>
      <c r="O10"/>
      <c r="P10"/>
    </row>
    <row r="11" spans="1:16" x14ac:dyDescent="0.2">
      <c r="B11" s="42" t="s">
        <v>17</v>
      </c>
      <c r="C11" s="43">
        <f>'Reliquidación AR'!$P12+'Reliquidación AR'!L12</f>
        <v>-2853169.2591901687</v>
      </c>
      <c r="D11" s="64"/>
      <c r="E11" s="64"/>
      <c r="F11" s="42" t="s">
        <v>17</v>
      </c>
      <c r="G11" s="43">
        <v>969309.83586703241</v>
      </c>
      <c r="H11" s="43">
        <f>VLOOKUP(F11,$B$8:$C$42,2,0)+G11</f>
        <v>-1883859.4233231363</v>
      </c>
      <c r="I11" s="65"/>
      <c r="J11"/>
      <c r="K11"/>
      <c r="L11"/>
      <c r="M11"/>
      <c r="N11"/>
      <c r="O11"/>
      <c r="P11"/>
    </row>
    <row r="12" spans="1:16" x14ac:dyDescent="0.2">
      <c r="B12" s="42" t="s">
        <v>18</v>
      </c>
      <c r="C12" s="43">
        <f>'Reliquidación AR'!$P13+'Reliquidación AR'!L13</f>
        <v>1293490054.6790347</v>
      </c>
      <c r="D12" s="64"/>
      <c r="E12" s="64"/>
      <c r="F12" s="42" t="s">
        <v>82</v>
      </c>
      <c r="G12" s="43">
        <v>312458521.27589214</v>
      </c>
      <c r="H12" s="43">
        <f>C12+C13+C14+C15+C16+C18+C19+C20+C37+C38+C39+G12</f>
        <v>1921862144.1537805</v>
      </c>
      <c r="I12" s="65"/>
      <c r="J12"/>
      <c r="K12"/>
      <c r="L12"/>
      <c r="M12"/>
      <c r="N12"/>
      <c r="O12"/>
      <c r="P12"/>
    </row>
    <row r="13" spans="1:16" x14ac:dyDescent="0.2">
      <c r="B13" s="42" t="s">
        <v>20</v>
      </c>
      <c r="C13" s="43">
        <f>'Reliquidación AR'!$P14+'Reliquidación AR'!L14</f>
        <v>-1524707.5387071227</v>
      </c>
      <c r="D13" s="64"/>
      <c r="E13" s="64"/>
      <c r="F13" s="42" t="s">
        <v>83</v>
      </c>
      <c r="G13" s="43">
        <v>-205636912.21997976</v>
      </c>
      <c r="H13" s="43">
        <f>C17+G13</f>
        <v>-1213521495.4839153</v>
      </c>
      <c r="I13" s="65"/>
      <c r="J13"/>
      <c r="K13"/>
      <c r="L13"/>
      <c r="M13"/>
      <c r="N13"/>
      <c r="O13"/>
      <c r="P13"/>
    </row>
    <row r="14" spans="1:16" x14ac:dyDescent="0.2">
      <c r="B14" s="42" t="s">
        <v>21</v>
      </c>
      <c r="C14" s="43">
        <f>'Reliquidación AR'!$P15+'Reliquidación AR'!L15</f>
        <v>93040268.740054756</v>
      </c>
      <c r="D14" s="64"/>
      <c r="E14" s="64"/>
      <c r="F14" s="42" t="s">
        <v>29</v>
      </c>
      <c r="G14" s="43">
        <v>5546771.3249391019</v>
      </c>
      <c r="H14" s="43">
        <f t="shared" ref="H14:H32" si="0">VLOOKUP(F14,$B$8:$C$42,2,0)+G14</f>
        <v>123301942.5296714</v>
      </c>
      <c r="I14" s="65"/>
      <c r="J14"/>
      <c r="K14"/>
      <c r="L14"/>
      <c r="M14"/>
      <c r="N14"/>
      <c r="O14"/>
      <c r="P14"/>
    </row>
    <row r="15" spans="1:16" x14ac:dyDescent="0.2">
      <c r="B15" s="42" t="s">
        <v>22</v>
      </c>
      <c r="C15" s="43">
        <f>'Reliquidación AR'!$P16+'Reliquidación AR'!L16</f>
        <v>0</v>
      </c>
      <c r="D15" s="64"/>
      <c r="E15" s="64"/>
      <c r="F15" s="42" t="s">
        <v>30</v>
      </c>
      <c r="G15" s="43">
        <v>404292.35010293871</v>
      </c>
      <c r="H15" s="43">
        <f t="shared" si="0"/>
        <v>-26942966.197096609</v>
      </c>
      <c r="I15" s="65"/>
      <c r="J15"/>
      <c r="K15"/>
      <c r="L15"/>
      <c r="M15"/>
      <c r="N15"/>
      <c r="O15"/>
      <c r="P15"/>
    </row>
    <row r="16" spans="1:16" x14ac:dyDescent="0.2">
      <c r="A16"/>
      <c r="B16" s="42" t="s">
        <v>23</v>
      </c>
      <c r="C16" s="43">
        <f>'Reliquidación AR'!$P17+'Reliquidación AR'!L17</f>
        <v>0</v>
      </c>
      <c r="D16" s="64"/>
      <c r="E16" s="64"/>
      <c r="F16" s="42" t="s">
        <v>31</v>
      </c>
      <c r="G16" s="43">
        <v>-4423022.2019357681</v>
      </c>
      <c r="H16" s="43">
        <f t="shared" si="0"/>
        <v>-26283525.825160656</v>
      </c>
      <c r="I16" s="65"/>
      <c r="J16"/>
      <c r="K16"/>
      <c r="L16"/>
      <c r="M16"/>
      <c r="N16"/>
      <c r="O16"/>
      <c r="P16"/>
    </row>
    <row r="17" spans="1:16" x14ac:dyDescent="0.2">
      <c r="B17" s="42" t="s">
        <v>24</v>
      </c>
      <c r="C17" s="43">
        <f>'Reliquidación AR'!$P18+'Reliquidación AR'!L18</f>
        <v>-1007884583.2639354</v>
      </c>
      <c r="D17" s="64"/>
      <c r="E17" s="64"/>
      <c r="F17" s="42" t="s">
        <v>32</v>
      </c>
      <c r="G17" s="43">
        <v>1204167.4746646993</v>
      </c>
      <c r="H17" s="43">
        <f t="shared" si="0"/>
        <v>-1751910.833076355</v>
      </c>
      <c r="I17" s="65"/>
      <c r="J17"/>
      <c r="K17"/>
      <c r="L17"/>
      <c r="M17"/>
      <c r="N17"/>
      <c r="O17"/>
      <c r="P17"/>
    </row>
    <row r="18" spans="1:16" x14ac:dyDescent="0.2">
      <c r="B18" s="42" t="s">
        <v>26</v>
      </c>
      <c r="C18" s="43">
        <f>'Reliquidación AR'!$P19+'Reliquidación AR'!L19</f>
        <v>328628417.47122991</v>
      </c>
      <c r="D18" s="64"/>
      <c r="E18" s="64"/>
      <c r="F18" s="42" t="s">
        <v>33</v>
      </c>
      <c r="G18" s="43">
        <v>1255494.8867473081</v>
      </c>
      <c r="H18" s="43">
        <f t="shared" si="0"/>
        <v>-3156081.3040407365</v>
      </c>
      <c r="I18" s="65"/>
      <c r="J18"/>
      <c r="K18"/>
      <c r="L18"/>
      <c r="M18"/>
      <c r="N18"/>
      <c r="O18"/>
      <c r="P18"/>
    </row>
    <row r="19" spans="1:16" x14ac:dyDescent="0.2">
      <c r="B19" s="42" t="s">
        <v>27</v>
      </c>
      <c r="C19" s="43">
        <f>'Reliquidación AR'!$P20+'Reliquidación AR'!L20</f>
        <v>69322294.887780696</v>
      </c>
      <c r="D19" s="64"/>
      <c r="E19" s="64"/>
      <c r="F19" s="42" t="s">
        <v>34</v>
      </c>
      <c r="G19" s="43">
        <v>-2054576.6652148589</v>
      </c>
      <c r="H19" s="43">
        <f t="shared" si="0"/>
        <v>-13019363.598745123</v>
      </c>
      <c r="I19" s="65"/>
      <c r="J19"/>
      <c r="K19"/>
      <c r="L19"/>
      <c r="M19"/>
      <c r="N19"/>
      <c r="O19"/>
      <c r="P19"/>
    </row>
    <row r="20" spans="1:16" x14ac:dyDescent="0.2">
      <c r="B20" s="42" t="s">
        <v>28</v>
      </c>
      <c r="C20" s="43">
        <f>'Reliquidación AR'!$P21+'Reliquidación AR'!L21</f>
        <v>0</v>
      </c>
      <c r="D20" s="64"/>
      <c r="E20" s="64"/>
      <c r="F20" s="42" t="s">
        <v>35</v>
      </c>
      <c r="G20" s="43">
        <v>-21256598.977819264</v>
      </c>
      <c r="H20" s="43">
        <f t="shared" si="0"/>
        <v>-148781953.45043796</v>
      </c>
      <c r="I20" s="65"/>
      <c r="J20"/>
      <c r="K20"/>
      <c r="L20"/>
      <c r="M20"/>
      <c r="N20"/>
      <c r="O20"/>
      <c r="P20"/>
    </row>
    <row r="21" spans="1:16" x14ac:dyDescent="0.2">
      <c r="B21" s="42" t="s">
        <v>29</v>
      </c>
      <c r="C21" s="43">
        <f>'Reliquidación AR'!$P22+'Reliquidación AR'!L22</f>
        <v>117755171.2047323</v>
      </c>
      <c r="D21" s="64"/>
      <c r="E21" s="64"/>
      <c r="F21" s="42" t="s">
        <v>36</v>
      </c>
      <c r="G21" s="43">
        <v>-3148882.664145492</v>
      </c>
      <c r="H21" s="43">
        <f t="shared" si="0"/>
        <v>-23899488.794729382</v>
      </c>
      <c r="I21" s="65"/>
      <c r="J21"/>
      <c r="K21"/>
      <c r="L21"/>
      <c r="M21"/>
      <c r="N21"/>
      <c r="O21"/>
      <c r="P21"/>
    </row>
    <row r="22" spans="1:16" x14ac:dyDescent="0.2">
      <c r="B22" s="42" t="s">
        <v>30</v>
      </c>
      <c r="C22" s="43">
        <f>'Reliquidación AR'!$P23+'Reliquidación AR'!L23</f>
        <v>-27347258.547199547</v>
      </c>
      <c r="D22" s="64"/>
      <c r="E22" s="64"/>
      <c r="F22" s="42" t="s">
        <v>37</v>
      </c>
      <c r="G22" s="43">
        <v>-36712124.949191332</v>
      </c>
      <c r="H22" s="43">
        <f t="shared" si="0"/>
        <v>-259178085.34619993</v>
      </c>
      <c r="I22" s="65"/>
      <c r="J22"/>
      <c r="K22"/>
      <c r="L22"/>
      <c r="M22"/>
      <c r="N22"/>
      <c r="O22"/>
      <c r="P22"/>
    </row>
    <row r="23" spans="1:16" x14ac:dyDescent="0.2">
      <c r="B23" s="42" t="s">
        <v>31</v>
      </c>
      <c r="C23" s="43">
        <f>'Reliquidación AR'!$P24+'Reliquidación AR'!L24</f>
        <v>-21860503.623224888</v>
      </c>
      <c r="D23" s="64"/>
      <c r="E23" s="64"/>
      <c r="F23" s="42" t="s">
        <v>38</v>
      </c>
      <c r="G23" s="43">
        <v>-1201476.0140289031</v>
      </c>
      <c r="H23" s="43">
        <f t="shared" si="0"/>
        <v>-8024725.7759513073</v>
      </c>
      <c r="I23" s="65"/>
      <c r="J23"/>
      <c r="K23"/>
      <c r="L23"/>
      <c r="M23"/>
      <c r="N23"/>
      <c r="O23"/>
      <c r="P23"/>
    </row>
    <row r="24" spans="1:16" x14ac:dyDescent="0.2">
      <c r="B24" s="42" t="s">
        <v>32</v>
      </c>
      <c r="C24" s="43">
        <f>'Reliquidación AR'!$P25+'Reliquidación AR'!L25</f>
        <v>-2956078.3077410543</v>
      </c>
      <c r="D24" s="64"/>
      <c r="E24" s="64"/>
      <c r="F24" s="42" t="s">
        <v>39</v>
      </c>
      <c r="G24" s="43">
        <v>-45617265.869934559</v>
      </c>
      <c r="H24" s="43">
        <f t="shared" si="0"/>
        <v>-298589209.08266485</v>
      </c>
      <c r="I24" s="65"/>
      <c r="J24"/>
      <c r="K24"/>
      <c r="L24"/>
      <c r="M24"/>
      <c r="N24"/>
      <c r="O24"/>
      <c r="P24"/>
    </row>
    <row r="25" spans="1:16" x14ac:dyDescent="0.2">
      <c r="B25" s="42" t="s">
        <v>33</v>
      </c>
      <c r="C25" s="43">
        <f>'Reliquidación AR'!$P26+'Reliquidación AR'!L26</f>
        <v>-4411576.1907880446</v>
      </c>
      <c r="D25" s="64"/>
      <c r="E25" s="64"/>
      <c r="F25" s="42" t="s">
        <v>40</v>
      </c>
      <c r="G25" s="43">
        <v>7364.6494228096853</v>
      </c>
      <c r="H25" s="43">
        <f t="shared" si="0"/>
        <v>-5395813.2644460378</v>
      </c>
      <c r="I25" s="65"/>
      <c r="J25"/>
      <c r="K25"/>
      <c r="L25"/>
      <c r="M25"/>
      <c r="N25"/>
      <c r="O25"/>
      <c r="P25"/>
    </row>
    <row r="26" spans="1:16" x14ac:dyDescent="0.2">
      <c r="B26" s="42" t="s">
        <v>34</v>
      </c>
      <c r="C26" s="43">
        <f>'Reliquidación AR'!$P27+'Reliquidación AR'!L27</f>
        <v>-10964786.933530264</v>
      </c>
      <c r="D26" s="64"/>
      <c r="E26" s="64"/>
      <c r="F26" s="42" t="s">
        <v>41</v>
      </c>
      <c r="G26" s="43">
        <v>-2508775.8982606456</v>
      </c>
      <c r="H26" s="43">
        <f t="shared" si="0"/>
        <v>-17156949.25169155</v>
      </c>
      <c r="I26" s="65"/>
      <c r="J26"/>
      <c r="K26"/>
      <c r="L26"/>
      <c r="M26"/>
      <c r="N26"/>
      <c r="O26"/>
      <c r="P26"/>
    </row>
    <row r="27" spans="1:16" x14ac:dyDescent="0.2">
      <c r="B27" s="42" t="s">
        <v>35</v>
      </c>
      <c r="C27" s="43">
        <f>'Reliquidación AR'!$P28+'Reliquidación AR'!L28</f>
        <v>-127525354.4726187</v>
      </c>
      <c r="D27" s="64"/>
      <c r="E27" s="64"/>
      <c r="F27" s="42" t="s">
        <v>42</v>
      </c>
      <c r="G27" s="43">
        <v>-2188656.7665573545</v>
      </c>
      <c r="H27" s="43">
        <f t="shared" si="0"/>
        <v>-16421156.085525295</v>
      </c>
      <c r="I27" s="65"/>
      <c r="J27"/>
      <c r="K27"/>
      <c r="L27"/>
      <c r="M27"/>
      <c r="N27"/>
      <c r="O27"/>
      <c r="P27"/>
    </row>
    <row r="28" spans="1:16" x14ac:dyDescent="0.2">
      <c r="B28" s="42" t="s">
        <v>36</v>
      </c>
      <c r="C28" s="43">
        <f>'Reliquidación AR'!$P29+'Reliquidación AR'!L29</f>
        <v>-20750606.13058389</v>
      </c>
      <c r="D28" s="64"/>
      <c r="E28" s="64"/>
      <c r="F28" s="42" t="s">
        <v>43</v>
      </c>
      <c r="G28" s="43">
        <v>-1592792.2852416188</v>
      </c>
      <c r="H28" s="43">
        <f t="shared" si="0"/>
        <v>-12286227.108403206</v>
      </c>
      <c r="I28" s="65"/>
      <c r="J28"/>
      <c r="K28"/>
      <c r="L28"/>
      <c r="M28"/>
      <c r="N28"/>
      <c r="O28"/>
      <c r="P28"/>
    </row>
    <row r="29" spans="1:16" x14ac:dyDescent="0.2">
      <c r="A29"/>
      <c r="B29" s="42" t="s">
        <v>37</v>
      </c>
      <c r="C29" s="43">
        <f>'Reliquidación AR'!$P30+'Reliquidación AR'!L30</f>
        <v>-222465960.3970086</v>
      </c>
      <c r="D29" s="64"/>
      <c r="E29" s="64"/>
      <c r="F29" s="42" t="s">
        <v>45</v>
      </c>
      <c r="G29" s="43">
        <v>-372702.21457652096</v>
      </c>
      <c r="H29" s="43">
        <f t="shared" si="0"/>
        <v>-2502835.2488884819</v>
      </c>
      <c r="I29" s="65"/>
      <c r="J29"/>
      <c r="K29"/>
      <c r="L29"/>
      <c r="M29"/>
      <c r="N29"/>
      <c r="O29"/>
      <c r="P29"/>
    </row>
    <row r="30" spans="1:16" x14ac:dyDescent="0.2">
      <c r="B30" s="42" t="s">
        <v>38</v>
      </c>
      <c r="C30" s="43">
        <f>'Reliquidación AR'!$P31+'Reliquidación AR'!L31</f>
        <v>-6823249.7619224042</v>
      </c>
      <c r="D30" s="64"/>
      <c r="E30" s="64"/>
      <c r="F30" s="42" t="s">
        <v>49</v>
      </c>
      <c r="G30" s="43">
        <v>0</v>
      </c>
      <c r="H30" s="43">
        <f t="shared" si="0"/>
        <v>0</v>
      </c>
      <c r="I30" s="65"/>
      <c r="J30"/>
      <c r="K30"/>
      <c r="L30"/>
      <c r="M30"/>
      <c r="N30"/>
      <c r="O30"/>
      <c r="P30"/>
    </row>
    <row r="31" spans="1:16" x14ac:dyDescent="0.2">
      <c r="A31"/>
      <c r="B31" s="42" t="s">
        <v>39</v>
      </c>
      <c r="C31" s="43">
        <f>'Reliquidación AR'!$P32+'Reliquidación AR'!L32</f>
        <v>-252971943.21273032</v>
      </c>
      <c r="D31" s="64"/>
      <c r="E31" s="64"/>
      <c r="F31" s="42" t="s">
        <v>50</v>
      </c>
      <c r="G31" s="43">
        <v>0</v>
      </c>
      <c r="H31" s="43">
        <f t="shared" si="0"/>
        <v>-18265.751254668616</v>
      </c>
      <c r="I31" s="65"/>
      <c r="J31"/>
      <c r="K31"/>
      <c r="L31"/>
      <c r="M31"/>
      <c r="N31"/>
      <c r="O31"/>
      <c r="P31"/>
    </row>
    <row r="32" spans="1:16" x14ac:dyDescent="0.2">
      <c r="A32"/>
      <c r="B32" s="42" t="s">
        <v>40</v>
      </c>
      <c r="C32" s="43">
        <f>'Reliquidación AR'!$P33+'Reliquidación AR'!L33</f>
        <v>-5403177.9138688473</v>
      </c>
      <c r="D32" s="64"/>
      <c r="E32" s="64"/>
      <c r="F32" s="44" t="s">
        <v>51</v>
      </c>
      <c r="G32" s="43">
        <v>-19218.704194419261</v>
      </c>
      <c r="H32" s="43">
        <f t="shared" si="0"/>
        <v>-139760.4834203046</v>
      </c>
      <c r="I32" s="65"/>
      <c r="J32"/>
      <c r="K32"/>
      <c r="L32"/>
      <c r="M32"/>
      <c r="N32"/>
      <c r="O32"/>
      <c r="P32"/>
    </row>
    <row r="33" spans="1:19" x14ac:dyDescent="0.2">
      <c r="A33"/>
      <c r="B33" s="42" t="s">
        <v>41</v>
      </c>
      <c r="C33" s="43">
        <f>'Reliquidación AR'!$P34+'Reliquidación AR'!L34</f>
        <v>-14648173.353430904</v>
      </c>
      <c r="D33" s="64"/>
      <c r="E33" s="64"/>
      <c r="F33" s="46" t="s">
        <v>66</v>
      </c>
      <c r="G33" s="16">
        <f>SUM(G7:G32)</f>
        <v>-2.1282467059791088E-6</v>
      </c>
      <c r="H33" s="16">
        <f>SUM(H7:H32)</f>
        <v>-1.3488170225173235E-6</v>
      </c>
      <c r="I33"/>
      <c r="J33"/>
      <c r="K33"/>
      <c r="L33"/>
      <c r="M33"/>
      <c r="N33"/>
      <c r="O33"/>
      <c r="P33"/>
    </row>
    <row r="34" spans="1:19" x14ac:dyDescent="0.2">
      <c r="B34" s="42" t="s">
        <v>42</v>
      </c>
      <c r="C34" s="43">
        <f>'Reliquidación AR'!$P35+'Reliquidación AR'!L35</f>
        <v>-14232499.31896794</v>
      </c>
      <c r="D34" s="64"/>
      <c r="E34" s="64"/>
      <c r="F34" s="66"/>
      <c r="G34" s="66"/>
      <c r="H34" s="17"/>
      <c r="I34"/>
      <c r="J34"/>
      <c r="K34"/>
      <c r="L34"/>
      <c r="M34"/>
      <c r="N34"/>
      <c r="O34"/>
      <c r="P34"/>
    </row>
    <row r="35" spans="1:19" x14ac:dyDescent="0.2">
      <c r="A35"/>
      <c r="B35" s="42" t="s">
        <v>43</v>
      </c>
      <c r="C35" s="43">
        <f>'Reliquidación AR'!$P36+'Reliquidación AR'!L36</f>
        <v>-10693434.823161587</v>
      </c>
      <c r="D35" s="64"/>
      <c r="E35" s="64"/>
      <c r="F35" s="66"/>
      <c r="G35" s="67" t="s">
        <v>84</v>
      </c>
      <c r="H35" s="17"/>
      <c r="I35"/>
      <c r="J35"/>
      <c r="K35"/>
      <c r="L35"/>
      <c r="M35"/>
      <c r="N35"/>
      <c r="O35"/>
      <c r="P35"/>
    </row>
    <row r="36" spans="1:19" x14ac:dyDescent="0.2">
      <c r="A36"/>
      <c r="B36" s="42" t="s">
        <v>45</v>
      </c>
      <c r="C36" s="43">
        <f>'Reliquidación AR'!$P37+'Reliquidación AR'!L37</f>
        <v>-2130133.0343119609</v>
      </c>
      <c r="D36" s="64"/>
      <c r="E36" s="64"/>
      <c r="F36" s="66"/>
      <c r="G36" s="66"/>
      <c r="H36" s="17"/>
      <c r="I36" s="17"/>
      <c r="J36" s="17"/>
      <c r="K36" s="54"/>
      <c r="L36"/>
      <c r="M36"/>
      <c r="N36"/>
      <c r="O36"/>
      <c r="P36"/>
    </row>
    <row r="37" spans="1:19" x14ac:dyDescent="0.2">
      <c r="B37" s="42" t="s">
        <v>46</v>
      </c>
      <c r="C37" s="43">
        <f>'Reliquidación AR'!$P38+'Reliquidación AR'!L38</f>
        <v>-31676010.83090166</v>
      </c>
      <c r="D37" s="64"/>
      <c r="E37" s="64"/>
      <c r="F37" s="66"/>
      <c r="G37" s="66"/>
      <c r="H37" s="17"/>
      <c r="I37" s="17"/>
      <c r="J37" s="17"/>
      <c r="K37" s="54"/>
      <c r="L37"/>
      <c r="M37"/>
      <c r="N37"/>
      <c r="O37"/>
      <c r="P37"/>
    </row>
    <row r="38" spans="1:19" x14ac:dyDescent="0.2">
      <c r="B38" s="42" t="s">
        <v>47</v>
      </c>
      <c r="C38" s="43">
        <f>'Reliquidación AR'!$P39+'Reliquidación AR'!L39</f>
        <v>-48908074.794813335</v>
      </c>
      <c r="D38" s="64"/>
      <c r="E38" s="64"/>
      <c r="F38" s="66"/>
      <c r="G38" s="66"/>
      <c r="H38" s="17"/>
      <c r="I38" s="17"/>
      <c r="J38" s="17"/>
      <c r="K38" s="54"/>
      <c r="L38"/>
      <c r="M38"/>
      <c r="N38"/>
      <c r="O38"/>
      <c r="P38"/>
    </row>
    <row r="39" spans="1:19" x14ac:dyDescent="0.2">
      <c r="B39" s="42" t="s">
        <v>48</v>
      </c>
      <c r="C39" s="43">
        <f>'Reliquidación AR'!$P40+'Reliquidación AR'!L40</f>
        <v>-92968619.735790074</v>
      </c>
      <c r="D39" s="64"/>
      <c r="E39" s="64"/>
      <c r="F39" s="66"/>
      <c r="G39" s="66"/>
      <c r="H39" s="17"/>
      <c r="I39" s="17"/>
      <c r="J39" s="17"/>
      <c r="K39" s="54"/>
      <c r="L39"/>
      <c r="M39"/>
      <c r="N39"/>
      <c r="O39"/>
      <c r="P39"/>
    </row>
    <row r="40" spans="1:19" x14ac:dyDescent="0.2">
      <c r="B40" s="42" t="s">
        <v>49</v>
      </c>
      <c r="C40" s="43">
        <f>'Reliquidación AR'!$P41+'Reliquidación AR'!L41</f>
        <v>0</v>
      </c>
      <c r="D40" s="64"/>
      <c r="E40" s="64"/>
      <c r="F40" s="66"/>
      <c r="G40" s="66"/>
      <c r="H40" s="17"/>
      <c r="I40" s="17"/>
      <c r="J40" s="17"/>
      <c r="K40" s="54"/>
      <c r="L40"/>
      <c r="M40"/>
      <c r="N40"/>
      <c r="O40"/>
      <c r="P40"/>
    </row>
    <row r="41" spans="1:19" x14ac:dyDescent="0.2">
      <c r="B41" s="42" t="s">
        <v>50</v>
      </c>
      <c r="C41" s="43">
        <f>'Reliquidación AR'!$P42+'Reliquidación AR'!L42</f>
        <v>-18265.751254668616</v>
      </c>
      <c r="D41" s="64"/>
      <c r="E41" s="64"/>
      <c r="F41" s="66"/>
      <c r="G41" s="66"/>
      <c r="H41" s="17"/>
      <c r="I41" s="17"/>
      <c r="J41" s="17"/>
      <c r="K41" s="54"/>
      <c r="L41"/>
      <c r="M41"/>
      <c r="N41"/>
      <c r="O41"/>
      <c r="P41"/>
    </row>
    <row r="42" spans="1:19" x14ac:dyDescent="0.2">
      <c r="B42" s="44" t="s">
        <v>51</v>
      </c>
      <c r="C42" s="43">
        <f>'Reliquidación AR'!$P43+'Reliquidación AR'!L43</f>
        <v>-120541.77922588533</v>
      </c>
      <c r="D42" s="64"/>
      <c r="E42" s="64"/>
      <c r="F42" s="66"/>
      <c r="G42" s="66"/>
      <c r="H42" s="17"/>
      <c r="I42" s="17"/>
      <c r="J42" s="17"/>
      <c r="K42" s="54"/>
      <c r="L42"/>
      <c r="M42"/>
      <c r="N42"/>
      <c r="O42"/>
      <c r="P42"/>
      <c r="Q42" s="66"/>
      <c r="R42" s="68"/>
      <c r="S42" s="68"/>
    </row>
    <row r="43" spans="1:19" x14ac:dyDescent="0.2">
      <c r="B43" s="46" t="s">
        <v>66</v>
      </c>
      <c r="C43" s="16">
        <f>SUM(C8:C42)</f>
        <v>5.7593570090830326E-7</v>
      </c>
      <c r="D43" s="69"/>
      <c r="E43" s="69"/>
      <c r="F43" s="66"/>
      <c r="G43" s="66"/>
      <c r="H43" s="17"/>
      <c r="K43" s="54"/>
      <c r="L43"/>
      <c r="M43"/>
      <c r="N43"/>
      <c r="O43"/>
      <c r="P43"/>
    </row>
    <row r="44" spans="1:19" x14ac:dyDescent="0.2">
      <c r="F44"/>
      <c r="G44"/>
      <c r="L44"/>
      <c r="M44"/>
    </row>
    <row r="45" spans="1:19" x14ac:dyDescent="0.2">
      <c r="B45" s="66"/>
      <c r="C45" s="68"/>
      <c r="D45" s="68"/>
      <c r="E45" s="68"/>
      <c r="F45"/>
      <c r="G45"/>
      <c r="I45"/>
      <c r="J45"/>
      <c r="L45"/>
      <c r="M45"/>
    </row>
    <row r="46" spans="1:19" x14ac:dyDescent="0.2">
      <c r="B46"/>
      <c r="C46"/>
      <c r="D46"/>
      <c r="E46"/>
      <c r="F46" s="17"/>
      <c r="G46" s="17"/>
      <c r="H46"/>
      <c r="I46"/>
      <c r="J46"/>
      <c r="K46"/>
      <c r="L46"/>
      <c r="M46"/>
      <c r="N46"/>
      <c r="O46"/>
    </row>
    <row r="47" spans="1:19" x14ac:dyDescent="0.2">
      <c r="B47" s="19" t="s">
        <v>85</v>
      </c>
      <c r="C47"/>
      <c r="D47"/>
      <c r="E47"/>
      <c r="F47" s="17"/>
      <c r="G47" s="17"/>
      <c r="H47"/>
      <c r="I47"/>
      <c r="J47"/>
      <c r="K47"/>
      <c r="L47"/>
      <c r="M47"/>
      <c r="N47"/>
      <c r="O47"/>
    </row>
    <row r="48" spans="1:19" ht="15" x14ac:dyDescent="0.25">
      <c r="B48"/>
      <c r="C48" s="70"/>
      <c r="D48" s="70"/>
      <c r="E48" s="70"/>
      <c r="F48"/>
      <c r="G48"/>
      <c r="H48"/>
      <c r="K48" s="70"/>
      <c r="L48" s="70"/>
      <c r="M48" s="70"/>
      <c r="N48" s="70"/>
      <c r="O48" s="70"/>
    </row>
    <row r="49" spans="2:10" x14ac:dyDescent="0.2">
      <c r="B49" s="71" t="s">
        <v>86</v>
      </c>
      <c r="C49" s="72" t="s">
        <v>87</v>
      </c>
      <c r="D49" s="73"/>
      <c r="E49" s="73"/>
      <c r="F49" s="74"/>
      <c r="G49" s="75" t="s">
        <v>52</v>
      </c>
      <c r="I49" s="76"/>
      <c r="J49" s="76"/>
    </row>
    <row r="50" spans="2:10" x14ac:dyDescent="0.2">
      <c r="B50" s="77"/>
      <c r="C50" s="49" t="s">
        <v>14</v>
      </c>
      <c r="D50" s="49" t="s">
        <v>15</v>
      </c>
      <c r="E50" s="7" t="s">
        <v>82</v>
      </c>
      <c r="F50" s="78" t="s">
        <v>29</v>
      </c>
      <c r="G50" s="75"/>
      <c r="I50" s="22"/>
    </row>
    <row r="51" spans="2:10" x14ac:dyDescent="0.2">
      <c r="B51" s="79" t="s">
        <v>16</v>
      </c>
      <c r="C51" s="80" cm="1">
        <f t="array" ref="C51">(VLOOKUP($B51,$F$8:$H$33,3,0)*(-(VLOOKUP(C$50,$F$8:$H$33,3,0))))/SUMPRODUCT(($H$8:$H$33&gt;0)*($H$8:$H$33))</f>
        <v>63458.938352307152</v>
      </c>
      <c r="D51" s="80" cm="1">
        <f t="array" ref="D51">(VLOOKUP($B51,$F$8:$H$33,3,0)*(-(VLOOKUP(D$50,$F$8:$H$33,3,0))))/SUMPRODUCT(($H$8:$H$33&gt;0)*($H$8:$H$33))</f>
        <v>203581.36412443937</v>
      </c>
      <c r="E51" s="80" cm="1">
        <f t="array" ref="E51">(VLOOKUP($B51,$F$8:$H$33,3,0)*(-(VLOOKUP(E$50,$F$8:$H$33,3,0))))/SUMPRODUCT(($H$8:$H$33&gt;0)*($H$8:$H$33))</f>
        <v>11170490.594690777</v>
      </c>
      <c r="F51" s="80" cm="1">
        <f t="array" ref="F51">(VLOOKUP($B51,$F$8:$H$33,3,0)*(-(VLOOKUP(F$50,$F$8:$H$33,3,0))))/SUMPRODUCT(($H$8:$H$33&gt;0)*($H$8:$H$33))</f>
        <v>716671.16891011887</v>
      </c>
      <c r="G51" s="81">
        <f>SUM(C51:F51)</f>
        <v>12154202.066077644</v>
      </c>
      <c r="H51" s="22"/>
      <c r="I51" s="17"/>
    </row>
    <row r="52" spans="2:10" x14ac:dyDescent="0.2">
      <c r="B52" s="79" t="s">
        <v>17</v>
      </c>
      <c r="C52" s="80" cm="1">
        <f t="array" ref="C52">(VLOOKUP($B52,$F$8:$H$33,3,0)*(-(VLOOKUP(C$50,$F$8:$H$33,3,0))))/SUMPRODUCT(($H$8:$H$33&gt;0)*($H$8:$H$33))</f>
        <v>9835.9166944190674</v>
      </c>
      <c r="D52" s="80" cm="1">
        <f t="array" ref="D52">(VLOOKUP($B52,$F$8:$H$33,3,0)*(-(VLOOKUP(D$50,$F$8:$H$33,3,0))))/SUMPRODUCT(($H$8:$H$33&gt;0)*($H$8:$H$33))</f>
        <v>31554.409671137826</v>
      </c>
      <c r="E52" s="80" cm="1">
        <f t="array" ref="E52">(VLOOKUP($B52,$F$8:$H$33,3,0)*(-(VLOOKUP(E$50,$F$8:$H$33,3,0))))/SUMPRODUCT(($H$8:$H$33&gt;0)*($H$8:$H$33))</f>
        <v>1731387.5362236598</v>
      </c>
      <c r="F52" s="80" cm="1">
        <f t="array" ref="F52">(VLOOKUP($B52,$F$8:$H$33,3,0)*(-(VLOOKUP(F$50,$F$8:$H$33,3,0))))/SUMPRODUCT(($H$8:$H$33&gt;0)*($H$8:$H$33))</f>
        <v>111081.56073391957</v>
      </c>
      <c r="G52" s="81">
        <f>SUM(C52:F52)</f>
        <v>1883859.4233231361</v>
      </c>
      <c r="H52" s="17"/>
      <c r="I52" s="17"/>
    </row>
    <row r="53" spans="2:10" x14ac:dyDescent="0.2">
      <c r="B53" s="78" t="s">
        <v>83</v>
      </c>
      <c r="C53" s="80" cm="1">
        <f t="array" ref="C53">(VLOOKUP($B53,$F$8:$H$33,3,0)*(-(VLOOKUP(C$50,$F$8:$H$33,3,0))))/SUMPRODUCT(($H$8:$H$33&gt;0)*($H$8:$H$33))</f>
        <v>6335980.3755480377</v>
      </c>
      <c r="D53" s="80" cm="1">
        <f t="array" ref="D53">(VLOOKUP($B53,$F$8:$H$33,3,0)*(-(VLOOKUP(D$50,$F$8:$H$33,3,0))))/SUMPRODUCT(($H$8:$H$33&gt;0)*($H$8:$H$33))</f>
        <v>20326333.238646928</v>
      </c>
      <c r="E53" s="80" cm="1">
        <f t="array" ref="E53">(VLOOKUP($B53,$F$8:$H$33,3,0)*(-(VLOOKUP(E$50,$F$8:$H$33,3,0))))/SUMPRODUCT(($H$8:$H$33&gt;0)*($H$8:$H$33))</f>
        <v>1115304022.268307</v>
      </c>
      <c r="F53" s="80" cm="1">
        <f t="array" ref="F53">(VLOOKUP($B53,$F$8:$H$33,3,0)*(-(VLOOKUP(F$50,$F$8:$H$33,3,0))))/SUMPRODUCT(($H$8:$H$33&gt;0)*($H$8:$H$33))</f>
        <v>71555159.60141331</v>
      </c>
      <c r="G53" s="81">
        <f>SUM(C53:F53)</f>
        <v>1213521495.4839151</v>
      </c>
      <c r="H53" s="17"/>
      <c r="I53" s="17"/>
    </row>
    <row r="54" spans="2:10" x14ac:dyDescent="0.2">
      <c r="B54" s="78" t="s">
        <v>30</v>
      </c>
      <c r="C54" s="80" cm="1">
        <f t="array" ref="C54">(VLOOKUP($B54,$F$8:$H$33,3,0)*(-(VLOOKUP(C$50,$F$8:$H$33,3,0))))/SUMPRODUCT(($H$8:$H$33&gt;0)*($H$8:$H$33))</f>
        <v>140673.32611671975</v>
      </c>
      <c r="D54" s="80" cm="1">
        <f t="array" ref="D54">(VLOOKUP($B54,$F$8:$H$33,3,0)*(-(VLOOKUP(D$50,$F$8:$H$33,3,0))))/SUMPRODUCT(($H$8:$H$33&gt;0)*($H$8:$H$33))</f>
        <v>451291.31325473444</v>
      </c>
      <c r="E54" s="80" cm="1">
        <f t="array" ref="E54">(VLOOKUP($B54,$F$8:$H$33,3,0)*(-(VLOOKUP(E$50,$F$8:$H$33,3,0))))/SUMPRODUCT(($H$8:$H$33&gt;0)*($H$8:$H$33))</f>
        <v>24762312.561655957</v>
      </c>
      <c r="F54" s="80" cm="1">
        <f t="array" ref="F54">(VLOOKUP($B54,$F$8:$H$33,3,0)*(-(VLOOKUP(F$50,$F$8:$H$33,3,0))))/SUMPRODUCT(($H$8:$H$33&gt;0)*($H$8:$H$33))</f>
        <v>1588688.9960691964</v>
      </c>
      <c r="G54" s="81">
        <f>SUM(C54:F54)</f>
        <v>26942966.197096609</v>
      </c>
      <c r="H54" s="17"/>
      <c r="I54" s="17"/>
    </row>
    <row r="55" spans="2:10" x14ac:dyDescent="0.2">
      <c r="B55" s="78" t="s">
        <v>31</v>
      </c>
      <c r="C55" s="80" cm="1">
        <f t="array" ref="C55">(VLOOKUP($B55,$F$8:$H$33,3,0)*(-(VLOOKUP(C$50,$F$8:$H$33,3,0))))/SUMPRODUCT(($H$8:$H$33&gt;0)*($H$8:$H$33))</f>
        <v>137230.28759537556</v>
      </c>
      <c r="D55" s="80" cm="1">
        <f t="array" ref="D55">(VLOOKUP($B55,$F$8:$H$33,3,0)*(-(VLOOKUP(D$50,$F$8:$H$33,3,0))))/SUMPRODUCT(($H$8:$H$33&gt;0)*($H$8:$H$33))</f>
        <v>440245.76952034648</v>
      </c>
      <c r="E55" s="80" cm="1">
        <f t="array" ref="E55">(VLOOKUP($B55,$F$8:$H$33,3,0)*(-(VLOOKUP(E$50,$F$8:$H$33,3,0))))/SUMPRODUCT(($H$8:$H$33&gt;0)*($H$8:$H$33))</f>
        <v>24156244.599940132</v>
      </c>
      <c r="F55" s="80" cm="1">
        <f t="array" ref="F55">(VLOOKUP($B55,$F$8:$H$33,3,0)*(-(VLOOKUP(F$50,$F$8:$H$33,3,0))))/SUMPRODUCT(($H$8:$H$33&gt;0)*($H$8:$H$33))</f>
        <v>1549805.1681048011</v>
      </c>
      <c r="G55" s="81">
        <f>SUM(C55:F55)</f>
        <v>26283525.825160656</v>
      </c>
      <c r="H55" s="17"/>
      <c r="I55" s="17"/>
    </row>
    <row r="56" spans="2:10" x14ac:dyDescent="0.2">
      <c r="B56" s="78" t="s">
        <v>32</v>
      </c>
      <c r="C56" s="80" cm="1">
        <f t="array" ref="C56">(VLOOKUP($B56,$F$8:$H$33,3,0)*(-(VLOOKUP(C$50,$F$8:$H$33,3,0))))/SUMPRODUCT(($H$8:$H$33&gt;0)*($H$8:$H$33))</f>
        <v>9146.9930276393079</v>
      </c>
      <c r="D56" s="80" cm="1">
        <f t="array" ref="D56">(VLOOKUP($B56,$F$8:$H$33,3,0)*(-(VLOOKUP(D$50,$F$8:$H$33,3,0))))/SUMPRODUCT(($H$8:$H$33&gt;0)*($H$8:$H$33))</f>
        <v>29344.287291182587</v>
      </c>
      <c r="E56" s="80" cm="1">
        <f t="array" ref="E56">(VLOOKUP($B56,$F$8:$H$33,3,0)*(-(VLOOKUP(E$50,$F$8:$H$33,3,0))))/SUMPRODUCT(($H$8:$H$33&gt;0)*($H$8:$H$33))</f>
        <v>1610118.3259274021</v>
      </c>
      <c r="F56" s="80" cm="1">
        <f t="array" ref="F56">(VLOOKUP($B56,$F$8:$H$33,3,0)*(-(VLOOKUP(F$50,$F$8:$H$33,3,0))))/SUMPRODUCT(($H$8:$H$33&gt;0)*($H$8:$H$33))</f>
        <v>103301.22683013082</v>
      </c>
      <c r="G56" s="81">
        <f t="shared" ref="G56:G71" si="1">SUM(C56:F56)</f>
        <v>1751910.833076355</v>
      </c>
      <c r="H56" s="17"/>
      <c r="I56" s="17"/>
    </row>
    <row r="57" spans="2:10" x14ac:dyDescent="0.2">
      <c r="B57" s="79" t="s">
        <v>33</v>
      </c>
      <c r="C57" s="80" cm="1">
        <f t="array" ref="C57">(VLOOKUP($B57,$F$8:$H$33,3,0)*(-(VLOOKUP(C$50,$F$8:$H$33,3,0))))/SUMPRODUCT(($H$8:$H$33&gt;0)*($H$8:$H$33))</f>
        <v>16478.380713035516</v>
      </c>
      <c r="D57" s="80" cm="1">
        <f t="array" ref="D57">(VLOOKUP($B57,$F$8:$H$33,3,0)*(-(VLOOKUP(D$50,$F$8:$H$33,3,0))))/SUMPRODUCT(($H$8:$H$33&gt;0)*($H$8:$H$33))</f>
        <v>52863.967019070951</v>
      </c>
      <c r="E57" s="80" cm="1">
        <f t="array" ref="E57">(VLOOKUP($B57,$F$8:$H$33,3,0)*(-(VLOOKUP(E$50,$F$8:$H$33,3,0))))/SUMPRODUCT(($H$8:$H$33&gt;0)*($H$8:$H$33))</f>
        <v>2900640.9743065755</v>
      </c>
      <c r="F57" s="80" cm="1">
        <f t="array" ref="F57">(VLOOKUP($B57,$F$8:$H$33,3,0)*(-(VLOOKUP(F$50,$F$8:$H$33,3,0))))/SUMPRODUCT(($H$8:$H$33&gt;0)*($H$8:$H$33))</f>
        <v>186097.98200205417</v>
      </c>
      <c r="G57" s="81">
        <f t="shared" si="1"/>
        <v>3156081.3040407365</v>
      </c>
      <c r="H57" s="17"/>
      <c r="I57" s="17"/>
    </row>
    <row r="58" spans="2:10" x14ac:dyDescent="0.2">
      <c r="B58" s="79" t="s">
        <v>34</v>
      </c>
      <c r="C58" s="80" cm="1">
        <f t="array" ref="C58">(VLOOKUP($B58,$F$8:$H$33,3,0)*(-(VLOOKUP(C$50,$F$8:$H$33,3,0))))/SUMPRODUCT(($H$8:$H$33&gt;0)*($H$8:$H$33))</f>
        <v>67976.078356056561</v>
      </c>
      <c r="D58" s="80" cm="1">
        <f t="array" ref="D58">(VLOOKUP($B58,$F$8:$H$33,3,0)*(-(VLOOKUP(D$50,$F$8:$H$33,3,0))))/SUMPRODUCT(($H$8:$H$33&gt;0)*($H$8:$H$33))</f>
        <v>218072.71156550394</v>
      </c>
      <c r="E58" s="80" cm="1">
        <f t="array" ref="E58">(VLOOKUP($B58,$F$8:$H$33,3,0)*(-(VLOOKUP(E$50,$F$8:$H$33,3,0))))/SUMPRODUCT(($H$8:$H$33&gt;0)*($H$8:$H$33))</f>
        <v>11965629.486656653</v>
      </c>
      <c r="F58" s="80" cm="1">
        <f t="array" ref="F58">(VLOOKUP($B58,$F$8:$H$33,3,0)*(-(VLOOKUP(F$50,$F$8:$H$33,3,0))))/SUMPRODUCT(($H$8:$H$33&gt;0)*($H$8:$H$33))</f>
        <v>767685.3221669083</v>
      </c>
      <c r="G58" s="81">
        <f t="shared" si="1"/>
        <v>13019363.598745123</v>
      </c>
      <c r="H58" s="17"/>
      <c r="I58" s="17"/>
    </row>
    <row r="59" spans="2:10" x14ac:dyDescent="0.2">
      <c r="B59" s="79" t="s">
        <v>35</v>
      </c>
      <c r="C59" s="80" cm="1">
        <f t="array" ref="C59">(VLOOKUP($B59,$F$8:$H$33,3,0)*(-(VLOOKUP(C$50,$F$8:$H$33,3,0))))/SUMPRODUCT(($H$8:$H$33&gt;0)*($H$8:$H$33))</f>
        <v>776813.21740556788</v>
      </c>
      <c r="D59" s="80" cm="1">
        <f t="array" ref="D59">(VLOOKUP($B59,$F$8:$H$33,3,0)*(-(VLOOKUP(D$50,$F$8:$H$33,3,0))))/SUMPRODUCT(($H$8:$H$33&gt;0)*($H$8:$H$33))</f>
        <v>2492079.107774273</v>
      </c>
      <c r="E59" s="80" cm="1">
        <f t="array" ref="E59">(VLOOKUP($B59,$F$8:$H$33,3,0)*(-(VLOOKUP(E$50,$F$8:$H$33,3,0))))/SUMPRODUCT(($H$8:$H$33&gt;0)*($H$8:$H$33))</f>
        <v>136740149.83808658</v>
      </c>
      <c r="F59" s="80" cm="1">
        <f t="array" ref="F59">(VLOOKUP($B59,$F$8:$H$33,3,0)*(-(VLOOKUP(F$50,$F$8:$H$33,3,0))))/SUMPRODUCT(($H$8:$H$33&gt;0)*($H$8:$H$33))</f>
        <v>8772911.2871715445</v>
      </c>
      <c r="G59" s="81">
        <f t="shared" si="1"/>
        <v>148781953.45043796</v>
      </c>
      <c r="H59" s="17"/>
      <c r="I59" s="17"/>
    </row>
    <row r="60" spans="2:10" x14ac:dyDescent="0.2">
      <c r="B60" s="79" t="s">
        <v>36</v>
      </c>
      <c r="C60" s="80" cm="1">
        <f t="array" ref="C60">(VLOOKUP($B60,$F$8:$H$33,3,0)*(-(VLOOKUP(C$50,$F$8:$H$33,3,0))))/SUMPRODUCT(($H$8:$H$33&gt;0)*($H$8:$H$33))</f>
        <v>124782.86750796386</v>
      </c>
      <c r="D60" s="80" cm="1">
        <f t="array" ref="D60">(VLOOKUP($B60,$F$8:$H$33,3,0)*(-(VLOOKUP(D$50,$F$8:$H$33,3,0))))/SUMPRODUCT(($H$8:$H$33&gt;0)*($H$8:$H$33))</f>
        <v>400313.44750202366</v>
      </c>
      <c r="E60" s="80" cm="1">
        <f t="array" ref="E60">(VLOOKUP($B60,$F$8:$H$33,3,0)*(-(VLOOKUP(E$50,$F$8:$H$33,3,0))))/SUMPRODUCT(($H$8:$H$33&gt;0)*($H$8:$H$33))</f>
        <v>21965161.789152101</v>
      </c>
      <c r="F60" s="80" cm="1">
        <f t="array" ref="F60">(VLOOKUP($B60,$F$8:$H$33,3,0)*(-(VLOOKUP(F$50,$F$8:$H$33,3,0))))/SUMPRODUCT(($H$8:$H$33&gt;0)*($H$8:$H$33))</f>
        <v>1409230.6905672911</v>
      </c>
      <c r="G60" s="81">
        <f t="shared" si="1"/>
        <v>23899488.794729382</v>
      </c>
      <c r="H60" s="17"/>
      <c r="I60" s="17"/>
    </row>
    <row r="61" spans="2:10" x14ac:dyDescent="0.2">
      <c r="B61" s="79" t="s">
        <v>37</v>
      </c>
      <c r="C61" s="80" cm="1">
        <f t="array" ref="C61">(VLOOKUP($B61,$F$8:$H$33,3,0)*(-(VLOOKUP(C$50,$F$8:$H$33,3,0))))/SUMPRODUCT(($H$8:$H$33&gt;0)*($H$8:$H$33))</f>
        <v>1353208.2197446357</v>
      </c>
      <c r="D61" s="80" cm="1">
        <f t="array" ref="D61">(VLOOKUP($B61,$F$8:$H$33,3,0)*(-(VLOOKUP(D$50,$F$8:$H$33,3,0))))/SUMPRODUCT(($H$8:$H$33&gt;0)*($H$8:$H$33))</f>
        <v>4341200.5065477313</v>
      </c>
      <c r="E61" s="80" cm="1">
        <f t="array" ref="E61">(VLOOKUP($B61,$F$8:$H$33,3,0)*(-(VLOOKUP(E$50,$F$8:$H$33,3,0))))/SUMPRODUCT(($H$8:$H$33&gt;0)*($H$8:$H$33))</f>
        <v>238201269.73123461</v>
      </c>
      <c r="F61" s="80" cm="1">
        <f t="array" ref="F61">(VLOOKUP($B61,$F$8:$H$33,3,0)*(-(VLOOKUP(F$50,$F$8:$H$33,3,0))))/SUMPRODUCT(($H$8:$H$33&gt;0)*($H$8:$H$33))</f>
        <v>15282406.888672922</v>
      </c>
      <c r="G61" s="81">
        <f t="shared" si="1"/>
        <v>259178085.3461999</v>
      </c>
      <c r="H61" s="17"/>
      <c r="I61" s="17"/>
    </row>
    <row r="62" spans="2:10" x14ac:dyDescent="0.2">
      <c r="B62" s="79" t="s">
        <v>38</v>
      </c>
      <c r="C62" s="80" cm="1">
        <f t="array" ref="C62">(VLOOKUP($B62,$F$8:$H$33,3,0)*(-(VLOOKUP(C$50,$F$8:$H$33,3,0))))/SUMPRODUCT(($H$8:$H$33&gt;0)*($H$8:$H$33))</f>
        <v>41898.314306584864</v>
      </c>
      <c r="D62" s="80" cm="1">
        <f t="array" ref="D62">(VLOOKUP($B62,$F$8:$H$33,3,0)*(-(VLOOKUP(D$50,$F$8:$H$33,3,0))))/SUMPRODUCT(($H$8:$H$33&gt;0)*($H$8:$H$33))</f>
        <v>134413.15285948126</v>
      </c>
      <c r="E62" s="80" cm="1">
        <f t="array" ref="E62">(VLOOKUP($B62,$F$8:$H$33,3,0)*(-(VLOOKUP(E$50,$F$8:$H$33,3,0))))/SUMPRODUCT(($H$8:$H$33&gt;0)*($H$8:$H$33))</f>
        <v>7375237.2486403007</v>
      </c>
      <c r="F62" s="80" cm="1">
        <f t="array" ref="F62">(VLOOKUP($B62,$F$8:$H$33,3,0)*(-(VLOOKUP(F$50,$F$8:$H$33,3,0))))/SUMPRODUCT(($H$8:$H$33&gt;0)*($H$8:$H$33))</f>
        <v>473177.06014494074</v>
      </c>
      <c r="G62" s="81">
        <f t="shared" si="1"/>
        <v>8024725.7759513073</v>
      </c>
      <c r="H62" s="17"/>
      <c r="I62" s="17"/>
    </row>
    <row r="63" spans="2:10" x14ac:dyDescent="0.2">
      <c r="B63" s="79" t="s">
        <v>39</v>
      </c>
      <c r="C63" s="80" cm="1">
        <f t="array" ref="C63">(VLOOKUP($B63,$F$8:$H$33,3,0)*(-(VLOOKUP(C$50,$F$8:$H$33,3,0))))/SUMPRODUCT(($H$8:$H$33&gt;0)*($H$8:$H$33))</f>
        <v>1558979.6935107112</v>
      </c>
      <c r="D63" s="80" cm="1">
        <f t="array" ref="D63">(VLOOKUP($B63,$F$8:$H$33,3,0)*(-(VLOOKUP(D$50,$F$8:$H$33,3,0))))/SUMPRODUCT(($H$8:$H$33&gt;0)*($H$8:$H$33))</f>
        <v>5001331.8988289088</v>
      </c>
      <c r="E63" s="80" cm="1">
        <f t="array" ref="E63">(VLOOKUP($B63,$F$8:$H$33,3,0)*(-(VLOOKUP(E$50,$F$8:$H$33,3,0))))/SUMPRODUCT(($H$8:$H$33&gt;0)*($H$8:$H$33))</f>
        <v>274422618.08721513</v>
      </c>
      <c r="F63" s="80" cm="1">
        <f t="array" ref="F63">(VLOOKUP($B63,$F$8:$H$33,3,0)*(-(VLOOKUP(F$50,$F$8:$H$33,3,0))))/SUMPRODUCT(($H$8:$H$33&gt;0)*($H$8:$H$33))</f>
        <v>17606279.40311012</v>
      </c>
      <c r="G63" s="81">
        <f t="shared" si="1"/>
        <v>298589209.08266491</v>
      </c>
      <c r="H63" s="17"/>
      <c r="I63" s="17"/>
    </row>
    <row r="64" spans="2:10" x14ac:dyDescent="0.2">
      <c r="B64" s="79" t="s">
        <v>40</v>
      </c>
      <c r="C64" s="80" cm="1">
        <f t="array" ref="C64">(VLOOKUP($B64,$F$8:$H$33,3,0)*(-(VLOOKUP(C$50,$F$8:$H$33,3,0))))/SUMPRODUCT(($H$8:$H$33&gt;0)*($H$8:$H$33))</f>
        <v>28172.362072596701</v>
      </c>
      <c r="D64" s="80" cm="1">
        <f t="array" ref="D64">(VLOOKUP($B64,$F$8:$H$33,3,0)*(-(VLOOKUP(D$50,$F$8:$H$33,3,0))))/SUMPRODUCT(($H$8:$H$33&gt;0)*($H$8:$H$33))</f>
        <v>90379.19716692419</v>
      </c>
      <c r="E64" s="80" cm="1">
        <f t="array" ref="E64">(VLOOKUP($B64,$F$8:$H$33,3,0)*(-(VLOOKUP(E$50,$F$8:$H$33,3,0))))/SUMPRODUCT(($H$8:$H$33&gt;0)*($H$8:$H$33))</f>
        <v>4959098.1780224387</v>
      </c>
      <c r="F64" s="80" cm="1">
        <f t="array" ref="F64">(VLOOKUP($B64,$F$8:$H$33,3,0)*(-(VLOOKUP(F$50,$F$8:$H$33,3,0))))/SUMPRODUCT(($H$8:$H$33&gt;0)*($H$8:$H$33))</f>
        <v>318163.5271840776</v>
      </c>
      <c r="G64" s="81">
        <f t="shared" si="1"/>
        <v>5395813.2644460369</v>
      </c>
      <c r="H64" s="17"/>
      <c r="I64" s="17"/>
    </row>
    <row r="65" spans="2:14" x14ac:dyDescent="0.2">
      <c r="B65" s="79" t="s">
        <v>41</v>
      </c>
      <c r="C65" s="80" cm="1">
        <f t="array" ref="C65">(VLOOKUP($B65,$F$8:$H$33,3,0)*(-(VLOOKUP(C$50,$F$8:$H$33,3,0))))/SUMPRODUCT(($H$8:$H$33&gt;0)*($H$8:$H$33))</f>
        <v>89579.042618971143</v>
      </c>
      <c r="D65" s="80" cm="1">
        <f t="array" ref="D65">(VLOOKUP($B65,$F$8:$H$33,3,0)*(-(VLOOKUP(D$50,$F$8:$H$33,3,0))))/SUMPRODUCT(($H$8:$H$33&gt;0)*($H$8:$H$33))</f>
        <v>287376.75364322279</v>
      </c>
      <c r="E65" s="80" cm="1">
        <f t="array" ref="E65">(VLOOKUP($B65,$F$8:$H$33,3,0)*(-(VLOOKUP(E$50,$F$8:$H$33,3,0))))/SUMPRODUCT(($H$8:$H$33&gt;0)*($H$8:$H$33))</f>
        <v>15768335.856823256</v>
      </c>
      <c r="F65" s="80" cm="1">
        <f t="array" ref="F65">(VLOOKUP($B65,$F$8:$H$33,3,0)*(-(VLOOKUP(F$50,$F$8:$H$33,3,0))))/SUMPRODUCT(($H$8:$H$33&gt;0)*($H$8:$H$33))</f>
        <v>1011657.598606097</v>
      </c>
      <c r="G65" s="81">
        <f t="shared" si="1"/>
        <v>17156949.251691546</v>
      </c>
      <c r="H65" s="17"/>
      <c r="I65" s="17"/>
    </row>
    <row r="66" spans="2:14" x14ac:dyDescent="0.2">
      <c r="B66" s="79" t="s">
        <v>42</v>
      </c>
      <c r="C66" s="80" cm="1">
        <f t="array" ref="C66">(VLOOKUP($B66,$F$8:$H$33,3,0)*(-(VLOOKUP(C$50,$F$8:$H$33,3,0))))/SUMPRODUCT(($H$8:$H$33&gt;0)*($H$8:$H$33))</f>
        <v>85737.354541222929</v>
      </c>
      <c r="D66" s="80" cm="1">
        <f t="array" ref="D66">(VLOOKUP($B66,$F$8:$H$33,3,0)*(-(VLOOKUP(D$50,$F$8:$H$33,3,0))))/SUMPRODUCT(($H$8:$H$33&gt;0)*($H$8:$H$33))</f>
        <v>275052.31015715963</v>
      </c>
      <c r="E66" s="80" cm="1">
        <f t="array" ref="E66">(VLOOKUP($B66,$F$8:$H$33,3,0)*(-(VLOOKUP(E$50,$F$8:$H$33,3,0))))/SUMPRODUCT(($H$8:$H$33&gt;0)*($H$8:$H$33))</f>
        <v>15092094.784179123</v>
      </c>
      <c r="F66" s="80" cm="1">
        <f t="array" ref="F66">(VLOOKUP($B66,$F$8:$H$33,3,0)*(-(VLOOKUP(F$50,$F$8:$H$33,3,0))))/SUMPRODUCT(($H$8:$H$33&gt;0)*($H$8:$H$33))</f>
        <v>968271.63664778788</v>
      </c>
      <c r="G66" s="81">
        <f t="shared" si="1"/>
        <v>16421156.085525293</v>
      </c>
      <c r="H66" s="17"/>
      <c r="I66" s="17"/>
    </row>
    <row r="67" spans="2:14" x14ac:dyDescent="0.2">
      <c r="B67" s="79" t="s">
        <v>43</v>
      </c>
      <c r="C67" s="80" cm="1">
        <f t="array" ref="C67">(VLOOKUP($B67,$F$8:$H$33,3,0)*(-(VLOOKUP(C$50,$F$8:$H$33,3,0))))/SUMPRODUCT(($H$8:$H$33&gt;0)*($H$8:$H$33))</f>
        <v>64148.261187023054</v>
      </c>
      <c r="D67" s="80" cm="1">
        <f t="array" ref="D67">(VLOOKUP($B67,$F$8:$H$33,3,0)*(-(VLOOKUP(D$50,$F$8:$H$33,3,0))))/SUMPRODUCT(($H$8:$H$33&gt;0)*($H$8:$H$33))</f>
        <v>205792.7670671501</v>
      </c>
      <c r="E67" s="80" cm="1">
        <f t="array" ref="E67">(VLOOKUP($B67,$F$8:$H$33,3,0)*(-(VLOOKUP(E$50,$F$8:$H$33,3,0))))/SUMPRODUCT(($H$8:$H$33&gt;0)*($H$8:$H$33))</f>
        <v>11291830.069346828</v>
      </c>
      <c r="F67" s="80" cm="1">
        <f t="array" ref="F67">(VLOOKUP($B67,$F$8:$H$33,3,0)*(-(VLOOKUP(F$50,$F$8:$H$33,3,0))))/SUMPRODUCT(($H$8:$H$33&gt;0)*($H$8:$H$33))</f>
        <v>724456.01080220402</v>
      </c>
      <c r="G67" s="81">
        <f t="shared" si="1"/>
        <v>12286227.108403206</v>
      </c>
      <c r="H67" s="17"/>
      <c r="I67" s="17"/>
    </row>
    <row r="68" spans="2:14" x14ac:dyDescent="0.2">
      <c r="B68" s="79" t="s">
        <v>45</v>
      </c>
      <c r="C68" s="80" cm="1">
        <f t="array" ref="C68">(VLOOKUP($B68,$F$8:$H$33,3,0)*(-(VLOOKUP(C$50,$F$8:$H$33,3,0))))/SUMPRODUCT(($H$8:$H$33&gt;0)*($H$8:$H$33))</f>
        <v>13067.683662137073</v>
      </c>
      <c r="D68" s="80" cm="1">
        <f t="array" ref="D68">(VLOOKUP($B68,$F$8:$H$33,3,0)*(-(VLOOKUP(D$50,$F$8:$H$33,3,0))))/SUMPRODUCT(($H$8:$H$33&gt;0)*($H$8:$H$33))</f>
        <v>41922.177315905159</v>
      </c>
      <c r="E68" s="80" cm="1">
        <f t="array" ref="E68">(VLOOKUP($B68,$F$8:$H$33,3,0)*(-(VLOOKUP(E$50,$F$8:$H$33,3,0))))/SUMPRODUCT(($H$8:$H$33&gt;0)*($H$8:$H$33))</f>
        <v>2300265.986674665</v>
      </c>
      <c r="F68" s="80" cm="1">
        <f t="array" ref="F68">(VLOOKUP($B68,$F$8:$H$33,3,0)*(-(VLOOKUP(F$50,$F$8:$H$33,3,0))))/SUMPRODUCT(($H$8:$H$33&gt;0)*($H$8:$H$33))</f>
        <v>147579.40123577489</v>
      </c>
      <c r="G68" s="81">
        <f t="shared" si="1"/>
        <v>2502835.2488884823</v>
      </c>
      <c r="H68" s="17"/>
      <c r="I68" s="17"/>
    </row>
    <row r="69" spans="2:14" x14ac:dyDescent="0.2">
      <c r="B69" s="79" t="s">
        <v>49</v>
      </c>
      <c r="C69" s="80" cm="1">
        <f t="array" ref="C69">(VLOOKUP($B69,$F$8:$H$33,3,0)*(-(VLOOKUP(C$50,$F$8:$H$33,3,0))))/SUMPRODUCT(($H$8:$H$33&gt;0)*($H$8:$H$33))</f>
        <v>0</v>
      </c>
      <c r="D69" s="80" cm="1">
        <f t="array" ref="D69">(VLOOKUP($B69,$F$8:$H$33,3,0)*(-(VLOOKUP(D$50,$F$8:$H$33,3,0))))/SUMPRODUCT(($H$8:$H$33&gt;0)*($H$8:$H$33))</f>
        <v>0</v>
      </c>
      <c r="E69" s="80" cm="1">
        <f t="array" ref="E69">(VLOOKUP($B69,$F$8:$H$33,3,0)*(-(VLOOKUP(E$50,$F$8:$H$33,3,0))))/SUMPRODUCT(($H$8:$H$33&gt;0)*($H$8:$H$33))</f>
        <v>0</v>
      </c>
      <c r="F69" s="80" cm="1">
        <f t="array" ref="F69">(VLOOKUP($B69,$F$8:$H$33,3,0)*(-(VLOOKUP(F$50,$F$8:$H$33,3,0))))/SUMPRODUCT(($H$8:$H$33&gt;0)*($H$8:$H$33))</f>
        <v>0</v>
      </c>
      <c r="G69" s="81">
        <f t="shared" si="1"/>
        <v>0</v>
      </c>
      <c r="H69" s="17"/>
      <c r="I69" s="17"/>
    </row>
    <row r="70" spans="2:14" x14ac:dyDescent="0.2">
      <c r="B70" s="79" t="s">
        <v>50</v>
      </c>
      <c r="C70" s="80" cm="1">
        <f t="array" ref="C70">(VLOOKUP($B70,$F$8:$H$33,3,0)*(-(VLOOKUP(C$50,$F$8:$H$33,3,0))))/SUMPRODUCT(($H$8:$H$33&gt;0)*($H$8:$H$33))</f>
        <v>95.368266590178635</v>
      </c>
      <c r="D70" s="80" cm="1">
        <f t="array" ref="D70">(VLOOKUP($B70,$F$8:$H$33,3,0)*(-(VLOOKUP(D$50,$F$8:$H$33,3,0))))/SUMPRODUCT(($H$8:$H$33&gt;0)*($H$8:$H$33))</f>
        <v>305.94904848271688</v>
      </c>
      <c r="E70" s="80" cm="1">
        <f t="array" ref="E70">(VLOOKUP($B70,$F$8:$H$33,3,0)*(-(VLOOKUP(E$50,$F$8:$H$33,3,0))))/SUMPRODUCT(($H$8:$H$33&gt;0)*($H$8:$H$33))</f>
        <v>16787.395954581425</v>
      </c>
      <c r="F70" s="80" cm="1">
        <f t="array" ref="F70">(VLOOKUP($B70,$F$8:$H$33,3,0)*(-(VLOOKUP(F$50,$F$8:$H$33,3,0))))/SUMPRODUCT(($H$8:$H$33&gt;0)*($H$8:$H$33))</f>
        <v>1077.0379850142933</v>
      </c>
      <c r="G70" s="81">
        <f t="shared" si="1"/>
        <v>18265.751254668612</v>
      </c>
      <c r="H70" s="17"/>
      <c r="I70" s="17"/>
    </row>
    <row r="71" spans="2:14" x14ac:dyDescent="0.2">
      <c r="B71" s="79" t="s">
        <v>51</v>
      </c>
      <c r="C71" s="80" cm="1">
        <f t="array" ref="C71">(VLOOKUP($B71,$F$8:$H$33,3,0)*(-(VLOOKUP(C$50,$F$8:$H$33,3,0))))/SUMPRODUCT(($H$8:$H$33&gt;0)*($H$8:$H$33))</f>
        <v>729.71074968477467</v>
      </c>
      <c r="D71" s="80" cm="1">
        <f t="array" ref="D71">(VLOOKUP($B71,$F$8:$H$33,3,0)*(-(VLOOKUP(D$50,$F$8:$H$33,3,0))))/SUMPRODUCT(($H$8:$H$33&gt;0)*($H$8:$H$33))</f>
        <v>2340.9706133492659</v>
      </c>
      <c r="E71" s="80" cm="1">
        <f t="array" ref="E71">(VLOOKUP($B71,$F$8:$H$33,3,0)*(-(VLOOKUP(E$50,$F$8:$H$33,3,0))))/SUMPRODUCT(($H$8:$H$33&gt;0)*($H$8:$H$33))</f>
        <v>128448.84074399555</v>
      </c>
      <c r="F71" s="80" cm="1">
        <f t="array" ref="F71">(VLOOKUP($B71,$F$8:$H$33,3,0)*(-(VLOOKUP(F$50,$F$8:$H$33,3,0))))/SUMPRODUCT(($H$8:$H$33&gt;0)*($H$8:$H$33))</f>
        <v>8240.9613132750037</v>
      </c>
      <c r="G71" s="81">
        <f t="shared" si="1"/>
        <v>139760.4834203046</v>
      </c>
      <c r="H71" s="17"/>
      <c r="I71" s="17"/>
    </row>
    <row r="72" spans="2:14" x14ac:dyDescent="0.2">
      <c r="B72" s="7" t="s">
        <v>52</v>
      </c>
      <c r="C72" s="82">
        <f>SUM(C51:C71)</f>
        <v>10917992.391977279</v>
      </c>
      <c r="D72" s="82">
        <f t="shared" ref="D72:F72" si="2">SUM(D51:D71)</f>
        <v>35025795.299617961</v>
      </c>
      <c r="E72" s="82">
        <f t="shared" si="2"/>
        <v>1921862144.1537819</v>
      </c>
      <c r="F72" s="82">
        <f t="shared" si="2"/>
        <v>123301942.52967148</v>
      </c>
      <c r="G72" s="82">
        <f>SUM(G51:G71)</f>
        <v>2091107874.3750486</v>
      </c>
      <c r="H72" s="17"/>
      <c r="I72" s="83"/>
    </row>
    <row r="73" spans="2:14" x14ac:dyDescent="0.2">
      <c r="B73"/>
      <c r="C73" s="17"/>
      <c r="D73" s="17"/>
      <c r="E73" s="17"/>
      <c r="H73" s="83"/>
      <c r="N73" s="17"/>
    </row>
    <row r="74" spans="2:14" x14ac:dyDescent="0.2">
      <c r="B74" s="19"/>
      <c r="C74" s="83"/>
      <c r="D74" s="83"/>
      <c r="E74" s="83"/>
      <c r="G74" s="84">
        <f t="array" ref="G74">-SUMPRODUCT(($H$8:$H$33&lt;0)*($H$8:$H$33))</f>
        <v>2091107874.3750503</v>
      </c>
    </row>
    <row r="75" spans="2:14" x14ac:dyDescent="0.2">
      <c r="B75"/>
      <c r="C75"/>
      <c r="D75"/>
      <c r="E75"/>
      <c r="G75" s="85">
        <f>G72-G74</f>
        <v>0</v>
      </c>
    </row>
    <row r="76" spans="2:14" x14ac:dyDescent="0.2">
      <c r="B76"/>
      <c r="C76"/>
      <c r="D76"/>
      <c r="E76"/>
      <c r="G76" s="85">
        <f>G72-K6</f>
        <v>0</v>
      </c>
    </row>
  </sheetData>
  <mergeCells count="9">
    <mergeCell ref="K6:K7"/>
    <mergeCell ref="B49:B50"/>
    <mergeCell ref="C49:F49"/>
    <mergeCell ref="B6:B7"/>
    <mergeCell ref="C6:C7"/>
    <mergeCell ref="F6:F7"/>
    <mergeCell ref="G6:G7"/>
    <mergeCell ref="H6:H7"/>
    <mergeCell ref="J6:J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F0B4-4F5C-4E74-9494-5AF85F381550}">
  <sheetPr codeName="Hoja7">
    <tabColor theme="9" tint="0.59999389629810485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20" customWidth="1"/>
    <col min="2" max="2" width="24.85546875" style="20" customWidth="1"/>
    <col min="3" max="3" width="11.5703125" style="20" bestFit="1" customWidth="1"/>
    <col min="4" max="4" width="13.140625" style="20" bestFit="1" customWidth="1"/>
    <col min="5" max="5" width="12.5703125" style="20" customWidth="1"/>
    <col min="6" max="6" width="9.5703125" style="20" bestFit="1" customWidth="1"/>
    <col min="7" max="7" width="14" style="20" customWidth="1"/>
    <col min="8" max="8" width="11.7109375" style="20" customWidth="1"/>
    <col min="9" max="9" width="13" style="20" customWidth="1"/>
    <col min="10" max="10" width="12.5703125" style="20" customWidth="1"/>
    <col min="11" max="11" width="12.140625" style="20" customWidth="1"/>
    <col min="12" max="12" width="13.140625" style="20" bestFit="1" customWidth="1"/>
    <col min="13" max="13" width="13.5703125" style="20" customWidth="1"/>
    <col min="14" max="14" width="13.140625" style="20" bestFit="1" customWidth="1"/>
    <col min="15" max="15" width="19.140625" style="20" customWidth="1"/>
    <col min="16" max="16" width="11.5703125" style="20" bestFit="1" customWidth="1"/>
    <col min="17" max="17" width="12.42578125" style="20" bestFit="1" customWidth="1"/>
    <col min="18" max="18" width="23.85546875" style="20" customWidth="1"/>
    <col min="19" max="16384" width="11.42578125" style="20"/>
  </cols>
  <sheetData>
    <row r="2" spans="2:17" x14ac:dyDescent="0.2">
      <c r="B2" s="19" t="s">
        <v>88</v>
      </c>
      <c r="C2" s="19"/>
      <c r="D2" s="19"/>
    </row>
    <row r="3" spans="2:17" x14ac:dyDescent="0.2">
      <c r="B3" s="21">
        <f>FechaFacturacion</f>
        <v>45597</v>
      </c>
      <c r="C3" s="22"/>
      <c r="D3" s="22"/>
      <c r="I3" s="23" t="s">
        <v>57</v>
      </c>
      <c r="J3" s="24"/>
      <c r="K3" s="24"/>
    </row>
    <row r="4" spans="2:17" x14ac:dyDescent="0.2">
      <c r="B4" s="25"/>
      <c r="D4" s="22"/>
      <c r="I4" s="26">
        <f>'Reliquidación TD'!$I$4</f>
        <v>2.557787040545545E-3</v>
      </c>
      <c r="J4" s="27"/>
      <c r="K4" s="27"/>
    </row>
    <row r="6" spans="2:17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54</v>
      </c>
      <c r="H6" s="29" t="str">
        <f>"Saldo "&amp;TEXT(B3-1,"mmmmmmmmmm")</f>
        <v>Saldo octubre</v>
      </c>
      <c r="I6" s="29" t="s">
        <v>58</v>
      </c>
      <c r="J6" s="29" t="s">
        <v>59</v>
      </c>
      <c r="K6" s="29" t="s">
        <v>60</v>
      </c>
      <c r="L6" s="30" t="s">
        <v>89</v>
      </c>
      <c r="M6" s="29" t="s">
        <v>90</v>
      </c>
      <c r="N6" s="31" t="s">
        <v>91</v>
      </c>
      <c r="O6" s="29" t="s">
        <v>64</v>
      </c>
      <c r="P6" s="29" t="s">
        <v>65</v>
      </c>
    </row>
    <row r="7" spans="2:17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7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7" x14ac:dyDescent="0.2">
      <c r="B9" s="40" t="s">
        <v>14</v>
      </c>
      <c r="C9" s="41">
        <f>SUMIF('Entrada CDRGL'!$E$8:$E$43,'Reliquidación CD RGL'!$B9,'Entrada CDRGL'!F$8:F$43)</f>
        <v>2326097</v>
      </c>
      <c r="D9" s="41">
        <f>SUMIF('Entrada CDRGL'!$E$8:$E$43,'Reliquidación CD RGL'!$B9,'Entrada CDRGL'!G$8:G$43)</f>
        <v>2635414</v>
      </c>
      <c r="E9" s="41">
        <f>SUMIF('Entrada CDRGL'!$E$8:$E$43,'Reliquidación CD RGL'!$B9,'Entrada CDRGL'!H$8:H$43)</f>
        <v>185452</v>
      </c>
      <c r="F9" s="41">
        <f>SUMIF('Entrada CDRGL'!$E$8:$E$43,'Reliquidación CD RGL'!$B9,'Entrada CDRGL'!I$8:I$43)</f>
        <v>40408</v>
      </c>
      <c r="G9" s="41">
        <f>SUMIF('Entrada CDRGL'!$E$8:$E$43,'Reliquidación CD RGL'!$B9,'Entrada CDRGL'!J$8:J$43)</f>
        <v>-658681.5432889252</v>
      </c>
      <c r="H9" s="41">
        <v>0</v>
      </c>
      <c r="I9" s="41">
        <f t="shared" ref="I9:I43" si="0">H9*($I$4+1)</f>
        <v>0</v>
      </c>
      <c r="J9" s="41">
        <v>0</v>
      </c>
      <c r="K9" s="41">
        <f>+J9*($I$4+1)</f>
        <v>0</v>
      </c>
      <c r="L9" s="41">
        <f>G9+I9+K9</f>
        <v>-658681.5432889252</v>
      </c>
      <c r="M9" s="41">
        <f>IF(L9&lt;0,-L9,0)</f>
        <v>658681.5432889252</v>
      </c>
      <c r="N9" s="41">
        <f>IF(L9&gt;0,L9,0)</f>
        <v>0</v>
      </c>
      <c r="O9" s="41">
        <f t="shared" ref="O9:O42" si="1">IF(OR($M$44=0,$N$44=0),0,((M9/$M$44-N9/$N$44)*$N$49))</f>
        <v>658681.5432889252</v>
      </c>
      <c r="P9" s="41">
        <f>L9+O9</f>
        <v>0</v>
      </c>
      <c r="Q9" s="86"/>
    </row>
    <row r="10" spans="2:17" x14ac:dyDescent="0.2">
      <c r="B10" s="42" t="s">
        <v>15</v>
      </c>
      <c r="C10" s="43">
        <f>SUMIF('Entrada CDRGL'!$E$8:$E$43,'Reliquidación CD RGL'!$B10,'Entrada CDRGL'!F$8:F$43)</f>
        <v>831740</v>
      </c>
      <c r="D10" s="43">
        <f>SUMIF('Entrada CDRGL'!$E$8:$E$43,'Reliquidación CD RGL'!$B10,'Entrada CDRGL'!G$8:G$43)</f>
        <v>3003747</v>
      </c>
      <c r="E10" s="43">
        <f>SUMIF('Entrada CDRGL'!$E$8:$E$43,'Reliquidación CD RGL'!$B10,'Entrada CDRGL'!H$8:H$43)</f>
        <v>2532</v>
      </c>
      <c r="F10" s="43">
        <f>SUMIF('Entrada CDRGL'!$E$8:$E$43,'Reliquidación CD RGL'!$B10,'Entrada CDRGL'!I$8:I$43)</f>
        <v>30414</v>
      </c>
      <c r="G10" s="43">
        <f>SUMIF('Entrada CDRGL'!$E$8:$E$43,'Reliquidación CD RGL'!$B10,'Entrada CDRGL'!J$8:J$43)</f>
        <v>-18902001.426394239</v>
      </c>
      <c r="H10" s="43">
        <v>0</v>
      </c>
      <c r="I10" s="43">
        <f t="shared" si="0"/>
        <v>0</v>
      </c>
      <c r="J10" s="43">
        <v>0</v>
      </c>
      <c r="K10" s="43">
        <f t="shared" ref="K10:K43" si="2">+J10*($I$4+1)</f>
        <v>0</v>
      </c>
      <c r="L10" s="43">
        <f t="shared" ref="L10:L43" si="3">G10+I10+K10</f>
        <v>-18902001.426394239</v>
      </c>
      <c r="M10" s="43">
        <f t="shared" ref="M10:M43" si="4">IF(L10&lt;0,-L10,0)</f>
        <v>18902001.426394239</v>
      </c>
      <c r="N10" s="43">
        <f>IF(L10&gt;0,L10,0)</f>
        <v>0</v>
      </c>
      <c r="O10" s="43">
        <f t="shared" si="1"/>
        <v>18902001.426394239</v>
      </c>
      <c r="P10" s="43">
        <f t="shared" ref="P10:P43" si="5">L10+O10</f>
        <v>0</v>
      </c>
      <c r="Q10" s="86"/>
    </row>
    <row r="11" spans="2:17" x14ac:dyDescent="0.2">
      <c r="B11" s="42" t="s">
        <v>16</v>
      </c>
      <c r="C11" s="43">
        <f>SUMIF('Entrada CDRGL'!$E$8:$E$43,'Reliquidación CD RGL'!$B11,'Entrada CDRGL'!F$8:F$43)</f>
        <v>1805683.4</v>
      </c>
      <c r="D11" s="43">
        <f>SUMIF('Entrada CDRGL'!$E$8:$E$43,'Reliquidación CD RGL'!$B11,'Entrada CDRGL'!G$8:G$43)</f>
        <v>5971293.3500100002</v>
      </c>
      <c r="E11" s="43">
        <f>SUMIF('Entrada CDRGL'!$E$8:$E$43,'Reliquidación CD RGL'!$B11,'Entrada CDRGL'!H$8:H$43)</f>
        <v>0</v>
      </c>
      <c r="F11" s="43">
        <f>SUMIF('Entrada CDRGL'!$E$8:$E$43,'Reliquidación CD RGL'!$B11,'Entrada CDRGL'!I$8:I$43)</f>
        <v>13086.6</v>
      </c>
      <c r="G11" s="43">
        <f>SUMIF('Entrada CDRGL'!$E$8:$E$43,'Reliquidación CD RGL'!$B11,'Entrada CDRGL'!J$8:J$43)</f>
        <v>13537319.98088254</v>
      </c>
      <c r="H11" s="43">
        <v>3886112.5470457207</v>
      </c>
      <c r="I11" s="43">
        <f t="shared" si="0"/>
        <v>3896052.3953566556</v>
      </c>
      <c r="J11" s="43">
        <v>0</v>
      </c>
      <c r="K11" s="43">
        <f t="shared" si="2"/>
        <v>0</v>
      </c>
      <c r="L11" s="43">
        <f t="shared" si="3"/>
        <v>17433372.376239195</v>
      </c>
      <c r="M11" s="43">
        <f t="shared" si="4"/>
        <v>0</v>
      </c>
      <c r="N11" s="43">
        <f t="shared" ref="N11:N43" si="6">IF(L11&gt;0,L11,0)</f>
        <v>17433372.376239195</v>
      </c>
      <c r="O11" s="43">
        <f t="shared" si="1"/>
        <v>-11115928.460579593</v>
      </c>
      <c r="P11" s="43">
        <f t="shared" si="5"/>
        <v>6317443.9156596027</v>
      </c>
      <c r="Q11" s="86"/>
    </row>
    <row r="12" spans="2:17" x14ac:dyDescent="0.2">
      <c r="B12" s="42" t="s">
        <v>17</v>
      </c>
      <c r="C12" s="43">
        <f>SUMIF('Entrada CDRGL'!$E$8:$E$43,'Reliquidación CD RGL'!$B12,'Entrada CDRGL'!F$8:F$43)</f>
        <v>435195</v>
      </c>
      <c r="D12" s="43">
        <f>SUMIF('Entrada CDRGL'!$E$8:$E$43,'Reliquidación CD RGL'!$B12,'Entrada CDRGL'!G$8:G$43)</f>
        <v>1404719</v>
      </c>
      <c r="E12" s="43">
        <f>SUMIF('Entrada CDRGL'!$E$8:$E$43,'Reliquidación CD RGL'!$B12,'Entrada CDRGL'!H$8:H$43)</f>
        <v>0</v>
      </c>
      <c r="F12" s="43">
        <f>SUMIF('Entrada CDRGL'!$E$8:$E$43,'Reliquidación CD RGL'!$B12,'Entrada CDRGL'!I$8:I$43)</f>
        <v>0</v>
      </c>
      <c r="G12" s="43">
        <f>SUMIF('Entrada CDRGL'!$E$8:$E$43,'Reliquidación CD RGL'!$B12,'Entrada CDRGL'!J$8:J$43)</f>
        <v>3490657.950683922</v>
      </c>
      <c r="H12" s="43">
        <v>897378.26859402983</v>
      </c>
      <c r="I12" s="43">
        <f t="shared" si="0"/>
        <v>899673.57109990681</v>
      </c>
      <c r="J12" s="43">
        <v>0</v>
      </c>
      <c r="K12" s="43">
        <f t="shared" si="2"/>
        <v>0</v>
      </c>
      <c r="L12" s="43">
        <f t="shared" si="3"/>
        <v>4390331.5217838287</v>
      </c>
      <c r="M12" s="43">
        <f t="shared" si="4"/>
        <v>0</v>
      </c>
      <c r="N12" s="43">
        <f t="shared" si="6"/>
        <v>4390331.5217838287</v>
      </c>
      <c r="O12" s="43">
        <f t="shared" si="1"/>
        <v>-2799378.689397587</v>
      </c>
      <c r="P12" s="43">
        <f t="shared" si="5"/>
        <v>1590952.8323862418</v>
      </c>
      <c r="Q12" s="86"/>
    </row>
    <row r="13" spans="2:17" x14ac:dyDescent="0.2">
      <c r="B13" s="42" t="s">
        <v>18</v>
      </c>
      <c r="C13" s="43">
        <f>SUMIF('Entrada CDRGL'!$E$8:$E$43,'Reliquidación CD RGL'!$B13,'Entrada CDRGL'!F$8:F$43)</f>
        <v>150295288.942</v>
      </c>
      <c r="D13" s="43">
        <f>SUMIF('Entrada CDRGL'!$E$8:$E$43,'Reliquidación CD RGL'!$B13,'Entrada CDRGL'!G$8:G$43)</f>
        <v>443534739.91159087</v>
      </c>
      <c r="E13" s="43">
        <f>SUMIF('Entrada CDRGL'!$E$8:$E$43,'Reliquidación CD RGL'!$B13,'Entrada CDRGL'!H$8:H$43)</f>
        <v>5446913.2929999996</v>
      </c>
      <c r="F13" s="43">
        <f>SUMIF('Entrada CDRGL'!$E$8:$E$43,'Reliquidación CD RGL'!$B13,'Entrada CDRGL'!I$8:I$43)</f>
        <v>1602973.736</v>
      </c>
      <c r="G13" s="43">
        <f>SUMIF('Entrada CDRGL'!$E$8:$E$43,'Reliquidación CD RGL'!$B13,'Entrada CDRGL'!J$8:J$43)</f>
        <v>168366882.59179991</v>
      </c>
      <c r="H13" s="43">
        <v>59704662.2064237</v>
      </c>
      <c r="I13" s="43">
        <f t="shared" si="0"/>
        <v>59857374.017675437</v>
      </c>
      <c r="J13" s="43">
        <v>0</v>
      </c>
      <c r="K13" s="43">
        <f t="shared" si="2"/>
        <v>0</v>
      </c>
      <c r="L13" s="43">
        <f t="shared" si="3"/>
        <v>228224256.60947534</v>
      </c>
      <c r="M13" s="43">
        <f t="shared" si="4"/>
        <v>0</v>
      </c>
      <c r="N13" s="43">
        <f t="shared" si="6"/>
        <v>228224256.60947534</v>
      </c>
      <c r="O13" s="43">
        <f t="shared" si="1"/>
        <v>-145521156.47444019</v>
      </c>
      <c r="P13" s="43">
        <f t="shared" si="5"/>
        <v>82703100.135035157</v>
      </c>
      <c r="Q13" s="86"/>
    </row>
    <row r="14" spans="2:17" x14ac:dyDescent="0.2">
      <c r="B14" s="42" t="s">
        <v>20</v>
      </c>
      <c r="C14" s="43">
        <f>SUMIF('Entrada CDRGL'!$E$8:$E$43,'Reliquidación CD RGL'!$B14,'Entrada CDRGL'!F$8:F$43)</f>
        <v>47106.500999999997</v>
      </c>
      <c r="D14" s="43">
        <f>SUMIF('Entrada CDRGL'!$E$8:$E$43,'Reliquidación CD RGL'!$B14,'Entrada CDRGL'!G$8:G$43)</f>
        <v>905866.74800000002</v>
      </c>
      <c r="E14" s="43">
        <f>SUMIF('Entrada CDRGL'!$E$8:$E$43,'Reliquidación CD RGL'!$B14,'Entrada CDRGL'!H$8:H$43)</f>
        <v>0</v>
      </c>
      <c r="F14" s="43">
        <f>SUMIF('Entrada CDRGL'!$E$8:$E$43,'Reliquidación CD RGL'!$B14,'Entrada CDRGL'!I$8:I$43)</f>
        <v>0</v>
      </c>
      <c r="G14" s="43">
        <f>SUMIF('Entrada CDRGL'!$E$8:$E$43,'Reliquidación CD RGL'!$B14,'Entrada CDRGL'!J$8:J$43)</f>
        <v>-16479739.738401661</v>
      </c>
      <c r="H14" s="43">
        <v>0</v>
      </c>
      <c r="I14" s="43">
        <f t="shared" si="0"/>
        <v>0</v>
      </c>
      <c r="J14" s="43">
        <v>0</v>
      </c>
      <c r="K14" s="43">
        <f t="shared" si="2"/>
        <v>0</v>
      </c>
      <c r="L14" s="43">
        <f t="shared" si="3"/>
        <v>-16479739.738401661</v>
      </c>
      <c r="M14" s="43">
        <f t="shared" si="4"/>
        <v>16479739.738401661</v>
      </c>
      <c r="N14" s="43">
        <f t="shared" si="6"/>
        <v>0</v>
      </c>
      <c r="O14" s="43">
        <f t="shared" si="1"/>
        <v>16479739.738401661</v>
      </c>
      <c r="P14" s="43">
        <f t="shared" si="5"/>
        <v>0</v>
      </c>
      <c r="Q14" s="86"/>
    </row>
    <row r="15" spans="2:17" x14ac:dyDescent="0.2">
      <c r="B15" s="42" t="s">
        <v>21</v>
      </c>
      <c r="C15" s="43">
        <f>SUMIF('Entrada CDRGL'!$E$8:$E$43,'Reliquidación CD RGL'!$B15,'Entrada CDRGL'!F$8:F$43)</f>
        <v>11974026.299000001</v>
      </c>
      <c r="D15" s="43">
        <f>SUMIF('Entrada CDRGL'!$E$8:$E$43,'Reliquidación CD RGL'!$B15,'Entrada CDRGL'!G$8:G$43)</f>
        <v>19645721.359000001</v>
      </c>
      <c r="E15" s="43">
        <f>SUMIF('Entrada CDRGL'!$E$8:$E$43,'Reliquidación CD RGL'!$B15,'Entrada CDRGL'!H$8:H$43)</f>
        <v>272085.80099999998</v>
      </c>
      <c r="F15" s="43">
        <f>SUMIF('Entrada CDRGL'!$E$8:$E$43,'Reliquidación CD RGL'!$B15,'Entrada CDRGL'!I$8:I$43)</f>
        <v>81469.142000000007</v>
      </c>
      <c r="G15" s="43">
        <f>SUMIF('Entrada CDRGL'!$E$8:$E$43,'Reliquidación CD RGL'!$B15,'Entrada CDRGL'!J$8:J$43)</f>
        <v>-188750421.81781611</v>
      </c>
      <c r="H15" s="43">
        <v>0</v>
      </c>
      <c r="I15" s="43">
        <f t="shared" si="0"/>
        <v>0</v>
      </c>
      <c r="J15" s="43">
        <v>0</v>
      </c>
      <c r="K15" s="43">
        <f t="shared" si="2"/>
        <v>0</v>
      </c>
      <c r="L15" s="43">
        <f t="shared" si="3"/>
        <v>-188750421.81781611</v>
      </c>
      <c r="M15" s="43">
        <f t="shared" si="4"/>
        <v>188750421.81781611</v>
      </c>
      <c r="N15" s="43">
        <f t="shared" si="6"/>
        <v>0</v>
      </c>
      <c r="O15" s="43">
        <f t="shared" si="1"/>
        <v>188750421.81781611</v>
      </c>
      <c r="P15" s="43">
        <f t="shared" si="5"/>
        <v>0</v>
      </c>
      <c r="Q15" s="86"/>
    </row>
    <row r="16" spans="2:17" x14ac:dyDescent="0.2">
      <c r="B16" s="42" t="s">
        <v>22</v>
      </c>
      <c r="C16" s="43">
        <f>SUMIF('Entrada CDRGL'!$E$8:$E$43,'Reliquidación CD RGL'!$B16,'Entrada CDRGL'!F$8:F$43)</f>
        <v>0</v>
      </c>
      <c r="D16" s="43">
        <f>SUMIF('Entrada CDRGL'!$E$8:$E$43,'Reliquidación CD RGL'!$B16,'Entrada CDRGL'!G$8:G$43)</f>
        <v>0</v>
      </c>
      <c r="E16" s="43">
        <f>SUMIF('Entrada CDRGL'!$E$8:$E$43,'Reliquidación CD RGL'!$B16,'Entrada CDRGL'!H$8:H$43)</f>
        <v>0</v>
      </c>
      <c r="F16" s="43">
        <f>SUMIF('Entrada CDRGL'!$E$8:$E$43,'Reliquidación CD RGL'!$B16,'Entrada CDRGL'!I$8:I$43)</f>
        <v>0</v>
      </c>
      <c r="G16" s="43">
        <f>SUMIF('Entrada CDRGL'!$E$8:$E$43,'Reliquidación CD RGL'!$B16,'Entrada CDRGL'!J$8:J$43)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2"/>
        <v>0</v>
      </c>
      <c r="L16" s="43">
        <f t="shared" si="3"/>
        <v>0</v>
      </c>
      <c r="M16" s="43">
        <f t="shared" si="4"/>
        <v>0</v>
      </c>
      <c r="N16" s="43">
        <f t="shared" si="6"/>
        <v>0</v>
      </c>
      <c r="O16" s="43">
        <f t="shared" si="1"/>
        <v>0</v>
      </c>
      <c r="P16" s="43">
        <f t="shared" si="5"/>
        <v>0</v>
      </c>
      <c r="Q16" s="86"/>
    </row>
    <row r="17" spans="2:17" x14ac:dyDescent="0.2">
      <c r="B17" s="42" t="s">
        <v>23</v>
      </c>
      <c r="C17" s="43">
        <f>SUMIF('Entrada CDRGL'!$E$8:$E$43,'Reliquidación CD RGL'!$B17,'Entrada CDRGL'!F$8:F$43)</f>
        <v>0</v>
      </c>
      <c r="D17" s="43">
        <f>SUMIF('Entrada CDRGL'!$E$8:$E$43,'Reliquidación CD RGL'!$B17,'Entrada CDRGL'!G$8:G$43)</f>
        <v>0</v>
      </c>
      <c r="E17" s="43">
        <f>SUMIF('Entrada CDRGL'!$E$8:$E$43,'Reliquidación CD RGL'!$B17,'Entrada CDRGL'!H$8:H$43)</f>
        <v>0</v>
      </c>
      <c r="F17" s="43">
        <f>SUMIF('Entrada CDRGL'!$E$8:$E$43,'Reliquidación CD RGL'!$B17,'Entrada CDRGL'!I$8:I$43)</f>
        <v>0</v>
      </c>
      <c r="G17" s="43">
        <f>SUMIF('Entrada CDRGL'!$E$8:$E$43,'Reliquidación CD RGL'!$B17,'Entrada CDRGL'!J$8:J$43)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2"/>
        <v>0</v>
      </c>
      <c r="L17" s="43">
        <f t="shared" si="3"/>
        <v>0</v>
      </c>
      <c r="M17" s="43">
        <f t="shared" si="4"/>
        <v>0</v>
      </c>
      <c r="N17" s="43">
        <f t="shared" si="6"/>
        <v>0</v>
      </c>
      <c r="O17" s="43">
        <f t="shared" si="1"/>
        <v>0</v>
      </c>
      <c r="P17" s="43">
        <f t="shared" si="5"/>
        <v>0</v>
      </c>
      <c r="Q17" s="86"/>
    </row>
    <row r="18" spans="2:17" x14ac:dyDescent="0.2">
      <c r="B18" s="42" t="s">
        <v>24</v>
      </c>
      <c r="C18" s="43">
        <f>SUMIF('Entrada CDRGL'!$E$8:$E$43,'Reliquidación CD RGL'!$B18,'Entrada CDRGL'!F$8:F$43)+SUMIF('Entrada CDRGL'!$E$8:$E$43,"LUZ ANDES",'Entrada CDRGL'!F$8:F$43)</f>
        <v>99737508.738999993</v>
      </c>
      <c r="D18" s="43">
        <f>SUMIF('Entrada CDRGL'!$E$8:$E$43,'Reliquidación CD RGL'!$B18,'Entrada CDRGL'!G$8:G$43)+SUMIF('Entrada CDRGL'!$E$8:$E$43,"LUZ ANDES",'Entrada CDRGL'!G$8:G$43)</f>
        <v>579636193.58700001</v>
      </c>
      <c r="E18" s="43">
        <f>SUMIF('Entrada CDRGL'!$E$8:$E$43,'Reliquidación CD RGL'!$B18,'Entrada CDRGL'!H$8:H$43)+SUMIF('Entrada CDRGL'!$E$8:$E$43,"LUZ ANDES",'Entrada CDRGL'!H$8:H$43)</f>
        <v>535261</v>
      </c>
      <c r="F18" s="43">
        <f>SUMIF('Entrada CDRGL'!$E$8:$E$43,'Reliquidación CD RGL'!$B18,'Entrada CDRGL'!I$8:I$43)+SUMIF('Entrada CDRGL'!$E$8:$E$43,"LUZ ANDES",'Entrada CDRGL'!I$8:I$43)</f>
        <v>1279747.5719999999</v>
      </c>
      <c r="G18" s="43">
        <f>SUMIF('Entrada CDRGL'!$E$8:$E$43,'Reliquidación CD RGL'!$B18,'Entrada CDRGL'!J$8:J$43)+SUMIF('Entrada CDRGL'!$E$8:$E$43,"LUZ ANDES",'Entrada CDRGL'!J$8:J$43)</f>
        <v>1008143533.3133252</v>
      </c>
      <c r="H18" s="43">
        <v>299852431.21514606</v>
      </c>
      <c r="I18" s="43">
        <f t="shared" si="0"/>
        <v>300619389.87778425</v>
      </c>
      <c r="J18" s="43">
        <v>0</v>
      </c>
      <c r="K18" s="43">
        <f t="shared" si="2"/>
        <v>0</v>
      </c>
      <c r="L18" s="43">
        <f t="shared" si="3"/>
        <v>1308762923.1911094</v>
      </c>
      <c r="M18" s="43">
        <f t="shared" si="4"/>
        <v>0</v>
      </c>
      <c r="N18" s="43">
        <f t="shared" si="6"/>
        <v>1308762923.1911094</v>
      </c>
      <c r="O18" s="43">
        <f t="shared" si="1"/>
        <v>-834498036.98794043</v>
      </c>
      <c r="P18" s="43">
        <f t="shared" si="5"/>
        <v>474264886.20316899</v>
      </c>
      <c r="Q18" s="86"/>
    </row>
    <row r="19" spans="2:17" x14ac:dyDescent="0.2">
      <c r="B19" s="42" t="s">
        <v>26</v>
      </c>
      <c r="C19" s="43">
        <f>SUMIF('Entrada CDRGL'!$E$8:$E$43,'Reliquidación CD RGL'!$B19,'Entrada CDRGL'!F$8:F$43)</f>
        <v>36115044.516000003</v>
      </c>
      <c r="D19" s="43">
        <f>SUMIF('Entrada CDRGL'!$E$8:$E$43,'Reliquidación CD RGL'!$B19,'Entrada CDRGL'!G$8:G$43)</f>
        <v>67120981.821999997</v>
      </c>
      <c r="E19" s="43">
        <f>SUMIF('Entrada CDRGL'!$E$8:$E$43,'Reliquidación CD RGL'!$B19,'Entrada CDRGL'!H$8:H$43)</f>
        <v>1245663.814</v>
      </c>
      <c r="F19" s="43">
        <f>SUMIF('Entrada CDRGL'!$E$8:$E$43,'Reliquidación CD RGL'!$B19,'Entrada CDRGL'!I$8:I$43)</f>
        <v>157017.12599999999</v>
      </c>
      <c r="G19" s="43">
        <f>SUMIF('Entrada CDRGL'!$E$8:$E$43,'Reliquidación CD RGL'!$B19,'Entrada CDRGL'!J$8:J$43)</f>
        <v>-46142841.813761324</v>
      </c>
      <c r="H19" s="43">
        <v>0</v>
      </c>
      <c r="I19" s="43">
        <f t="shared" si="0"/>
        <v>0</v>
      </c>
      <c r="J19" s="43">
        <v>0</v>
      </c>
      <c r="K19" s="43">
        <f t="shared" si="2"/>
        <v>0</v>
      </c>
      <c r="L19" s="43">
        <f t="shared" si="3"/>
        <v>-46142841.813761324</v>
      </c>
      <c r="M19" s="43">
        <f t="shared" si="4"/>
        <v>46142841.813761324</v>
      </c>
      <c r="N19" s="43">
        <f t="shared" si="6"/>
        <v>0</v>
      </c>
      <c r="O19" s="43">
        <f t="shared" si="1"/>
        <v>46142841.813761324</v>
      </c>
      <c r="P19" s="43">
        <f t="shared" si="5"/>
        <v>0</v>
      </c>
      <c r="Q19" s="86"/>
    </row>
    <row r="20" spans="2:17" x14ac:dyDescent="0.2">
      <c r="B20" s="42" t="s">
        <v>27</v>
      </c>
      <c r="C20" s="43">
        <f>SUMIF('Entrada CDRGL'!$E$8:$E$43,'Reliquidación CD RGL'!$B20,'Entrada CDRGL'!F$8:F$43)</f>
        <v>3546002.7880000002</v>
      </c>
      <c r="D20" s="43">
        <f>SUMIF('Entrada CDRGL'!$E$8:$E$43,'Reliquidación CD RGL'!$B20,'Entrada CDRGL'!G$8:G$43)</f>
        <v>17843777.791000001</v>
      </c>
      <c r="E20" s="43">
        <f>SUMIF('Entrada CDRGL'!$E$8:$E$43,'Reliquidación CD RGL'!$B20,'Entrada CDRGL'!H$8:H$43)</f>
        <v>0</v>
      </c>
      <c r="F20" s="43">
        <f>SUMIF('Entrada CDRGL'!$E$8:$E$43,'Reliquidación CD RGL'!$B20,'Entrada CDRGL'!I$8:I$43)</f>
        <v>23027.304</v>
      </c>
      <c r="G20" s="43">
        <f>SUMIF('Entrada CDRGL'!$E$8:$E$43,'Reliquidación CD RGL'!$B20,'Entrada CDRGL'!J$8:J$43)</f>
        <v>42321617.930619977</v>
      </c>
      <c r="H20" s="43">
        <v>12539889.991215505</v>
      </c>
      <c r="I20" s="43">
        <f t="shared" si="0"/>
        <v>12571964.359324902</v>
      </c>
      <c r="J20" s="43">
        <v>0</v>
      </c>
      <c r="K20" s="43">
        <f t="shared" si="2"/>
        <v>0</v>
      </c>
      <c r="L20" s="43">
        <f t="shared" si="3"/>
        <v>54893582.28994488</v>
      </c>
      <c r="M20" s="43">
        <f t="shared" si="4"/>
        <v>0</v>
      </c>
      <c r="N20" s="43">
        <f t="shared" si="6"/>
        <v>54893582.28994488</v>
      </c>
      <c r="O20" s="43">
        <f t="shared" si="1"/>
        <v>-35001439.796675742</v>
      </c>
      <c r="P20" s="43">
        <f t="shared" si="5"/>
        <v>19892142.493269138</v>
      </c>
      <c r="Q20" s="86"/>
    </row>
    <row r="21" spans="2:17" x14ac:dyDescent="0.2">
      <c r="B21" s="42" t="s">
        <v>28</v>
      </c>
      <c r="C21" s="43">
        <f>SUMIF('Entrada CDRGL'!$E$8:$E$43,'Reliquidación CD RGL'!$B21,'Entrada CDRGL'!F$8:F$43)</f>
        <v>0</v>
      </c>
      <c r="D21" s="43">
        <f>SUMIF('Entrada CDRGL'!$E$8:$E$43,'Reliquidación CD RGL'!$B21,'Entrada CDRGL'!G$8:G$43)</f>
        <v>0</v>
      </c>
      <c r="E21" s="43">
        <f>SUMIF('Entrada CDRGL'!$E$8:$E$43,'Reliquidación CD RGL'!$B21,'Entrada CDRGL'!H$8:H$43)</f>
        <v>0</v>
      </c>
      <c r="F21" s="43">
        <f>SUMIF('Entrada CDRGL'!$E$8:$E$43,'Reliquidación CD RGL'!$B21,'Entrada CDRGL'!I$8:I$43)</f>
        <v>0</v>
      </c>
      <c r="G21" s="43">
        <f>SUMIF('Entrada CDRGL'!$E$8:$E$43,'Reliquidación CD RGL'!$B21,'Entrada CDRGL'!J$8:J$43)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2"/>
        <v>0</v>
      </c>
      <c r="L21" s="43">
        <f t="shared" si="3"/>
        <v>0</v>
      </c>
      <c r="M21" s="43">
        <f t="shared" si="4"/>
        <v>0</v>
      </c>
      <c r="N21" s="43">
        <f t="shared" si="6"/>
        <v>0</v>
      </c>
      <c r="O21" s="43">
        <f t="shared" si="1"/>
        <v>0</v>
      </c>
      <c r="P21" s="43">
        <f t="shared" si="5"/>
        <v>0</v>
      </c>
      <c r="Q21" s="86"/>
    </row>
    <row r="22" spans="2:17" x14ac:dyDescent="0.2">
      <c r="B22" s="42" t="s">
        <v>29</v>
      </c>
      <c r="C22" s="43">
        <f>SUMIF('Entrada CDRGL'!$E$8:$E$43,'Reliquidación CD RGL'!$B22,'Entrada CDRGL'!F$8:F$43)</f>
        <v>1340082</v>
      </c>
      <c r="D22" s="43">
        <f>SUMIF('Entrada CDRGL'!$E$8:$E$43,'Reliquidación CD RGL'!$B22,'Entrada CDRGL'!G$8:G$43)</f>
        <v>7838468</v>
      </c>
      <c r="E22" s="43">
        <f>SUMIF('Entrada CDRGL'!$E$8:$E$43,'Reliquidación CD RGL'!$B22,'Entrada CDRGL'!H$8:H$43)</f>
        <v>739</v>
      </c>
      <c r="F22" s="43">
        <f>SUMIF('Entrada CDRGL'!$E$8:$E$43,'Reliquidación CD RGL'!$B22,'Entrada CDRGL'!I$8:I$43)</f>
        <v>19826</v>
      </c>
      <c r="G22" s="43">
        <f>SUMIF('Entrada CDRGL'!$E$8:$E$43,'Reliquidación CD RGL'!$B22,'Entrada CDRGL'!J$8:J$43)</f>
        <v>-4747100.6899249284</v>
      </c>
      <c r="H22" s="43">
        <v>0</v>
      </c>
      <c r="I22" s="43">
        <f t="shared" si="0"/>
        <v>0</v>
      </c>
      <c r="J22" s="43">
        <v>0</v>
      </c>
      <c r="K22" s="43">
        <f t="shared" si="2"/>
        <v>0</v>
      </c>
      <c r="L22" s="43">
        <f t="shared" si="3"/>
        <v>-4747100.6899249284</v>
      </c>
      <c r="M22" s="43">
        <f t="shared" si="4"/>
        <v>4747100.6899249284</v>
      </c>
      <c r="N22" s="43">
        <f t="shared" si="6"/>
        <v>0</v>
      </c>
      <c r="O22" s="43">
        <f t="shared" si="1"/>
        <v>4747100.6899249284</v>
      </c>
      <c r="P22" s="43">
        <f t="shared" si="5"/>
        <v>0</v>
      </c>
      <c r="Q22" s="86"/>
    </row>
    <row r="23" spans="2:17" x14ac:dyDescent="0.2">
      <c r="B23" s="42" t="s">
        <v>30</v>
      </c>
      <c r="C23" s="43">
        <f>SUMIF('Entrada CDRGL'!$E$8:$E$43,'Reliquidación CD RGL'!$B23,'Entrada CDRGL'!F$8:F$43)</f>
        <v>6403665</v>
      </c>
      <c r="D23" s="43">
        <f>SUMIF('Entrada CDRGL'!$E$8:$E$43,'Reliquidación CD RGL'!$B23,'Entrada CDRGL'!G$8:G$43)</f>
        <v>12660966</v>
      </c>
      <c r="E23" s="43">
        <f>SUMIF('Entrada CDRGL'!$E$8:$E$43,'Reliquidación CD RGL'!$B23,'Entrada CDRGL'!H$8:H$43)</f>
        <v>536317</v>
      </c>
      <c r="F23" s="43">
        <f>SUMIF('Entrada CDRGL'!$E$8:$E$43,'Reliquidación CD RGL'!$B23,'Entrada CDRGL'!I$8:I$43)</f>
        <v>135868</v>
      </c>
      <c r="G23" s="43">
        <f>SUMIF('Entrada CDRGL'!$E$8:$E$43,'Reliquidación CD RGL'!$B23,'Entrada CDRGL'!J$8:J$43)</f>
        <v>25061116.035781588</v>
      </c>
      <c r="H23" s="43">
        <v>6179773.502602974</v>
      </c>
      <c r="I23" s="43">
        <f t="shared" si="0"/>
        <v>6195580.0471814387</v>
      </c>
      <c r="J23" s="43">
        <v>0</v>
      </c>
      <c r="K23" s="43">
        <f t="shared" si="2"/>
        <v>0</v>
      </c>
      <c r="L23" s="43">
        <f t="shared" si="3"/>
        <v>31256696.082963027</v>
      </c>
      <c r="M23" s="43">
        <f t="shared" si="4"/>
        <v>0</v>
      </c>
      <c r="N23" s="43">
        <f t="shared" si="6"/>
        <v>31256696.082963027</v>
      </c>
      <c r="O23" s="43">
        <f t="shared" si="1"/>
        <v>-19930004.939597823</v>
      </c>
      <c r="P23" s="43">
        <f t="shared" si="5"/>
        <v>11326691.143365204</v>
      </c>
      <c r="Q23" s="86"/>
    </row>
    <row r="24" spans="2:17" x14ac:dyDescent="0.2">
      <c r="B24" s="42" t="s">
        <v>31</v>
      </c>
      <c r="C24" s="43">
        <f>SUMIF('Entrada CDRGL'!$E$8:$E$43,'Reliquidación CD RGL'!$B24,'Entrada CDRGL'!F$8:F$43)</f>
        <v>1672175</v>
      </c>
      <c r="D24" s="43">
        <f>SUMIF('Entrada CDRGL'!$E$8:$E$43,'Reliquidación CD RGL'!$B24,'Entrada CDRGL'!G$8:G$43)</f>
        <v>13546908</v>
      </c>
      <c r="E24" s="43">
        <f>SUMIF('Entrada CDRGL'!$E$8:$E$43,'Reliquidación CD RGL'!$B24,'Entrada CDRGL'!H$8:H$43)</f>
        <v>234</v>
      </c>
      <c r="F24" s="43">
        <f>SUMIF('Entrada CDRGL'!$E$8:$E$43,'Reliquidación CD RGL'!$B24,'Entrada CDRGL'!I$8:I$43)</f>
        <v>85701</v>
      </c>
      <c r="G24" s="43">
        <f>SUMIF('Entrada CDRGL'!$E$8:$E$43,'Reliquidación CD RGL'!$B24,'Entrada CDRGL'!J$8:J$43)</f>
        <v>23255254.34684344</v>
      </c>
      <c r="H24" s="43">
        <v>6845677.404825069</v>
      </c>
      <c r="I24" s="43">
        <f t="shared" si="0"/>
        <v>6863187.1897748858</v>
      </c>
      <c r="J24" s="43">
        <v>0</v>
      </c>
      <c r="K24" s="43">
        <f t="shared" si="2"/>
        <v>0</v>
      </c>
      <c r="L24" s="43">
        <f t="shared" si="3"/>
        <v>30118441.536618326</v>
      </c>
      <c r="M24" s="43">
        <f t="shared" si="4"/>
        <v>0</v>
      </c>
      <c r="N24" s="43">
        <f t="shared" si="6"/>
        <v>30118441.536618326</v>
      </c>
      <c r="O24" s="43">
        <f t="shared" si="1"/>
        <v>-19204227.056005877</v>
      </c>
      <c r="P24" s="43">
        <f t="shared" si="5"/>
        <v>10914214.480612449</v>
      </c>
      <c r="Q24" s="86"/>
    </row>
    <row r="25" spans="2:17" x14ac:dyDescent="0.2">
      <c r="B25" s="42" t="s">
        <v>32</v>
      </c>
      <c r="C25" s="43">
        <f>SUMIF('Entrada CDRGL'!$E$8:$E$43,'Reliquidación CD RGL'!$B25,'Entrada CDRGL'!F$8:F$43)</f>
        <v>415252</v>
      </c>
      <c r="D25" s="43">
        <f>SUMIF('Entrada CDRGL'!$E$8:$E$43,'Reliquidación CD RGL'!$B25,'Entrada CDRGL'!G$8:G$43)</f>
        <v>2739791</v>
      </c>
      <c r="E25" s="43">
        <f>SUMIF('Entrada CDRGL'!$E$8:$E$43,'Reliquidación CD RGL'!$B25,'Entrada CDRGL'!H$8:H$43)</f>
        <v>165044</v>
      </c>
      <c r="F25" s="43">
        <f>SUMIF('Entrada CDRGL'!$E$8:$E$43,'Reliquidación CD RGL'!$B25,'Entrada CDRGL'!I$8:I$43)</f>
        <v>46882</v>
      </c>
      <c r="G25" s="43">
        <f>SUMIF('Entrada CDRGL'!$E$8:$E$43,'Reliquidación CD RGL'!$B25,'Entrada CDRGL'!J$8:J$43)</f>
        <v>-6019454.5377525212</v>
      </c>
      <c r="H25" s="43">
        <v>0</v>
      </c>
      <c r="I25" s="43">
        <f t="shared" si="0"/>
        <v>0</v>
      </c>
      <c r="J25" s="43">
        <v>0</v>
      </c>
      <c r="K25" s="43">
        <f t="shared" si="2"/>
        <v>0</v>
      </c>
      <c r="L25" s="43">
        <f t="shared" si="3"/>
        <v>-6019454.5377525212</v>
      </c>
      <c r="M25" s="43">
        <f t="shared" si="4"/>
        <v>6019454.5377525212</v>
      </c>
      <c r="N25" s="43">
        <f t="shared" si="6"/>
        <v>0</v>
      </c>
      <c r="O25" s="43">
        <f t="shared" si="1"/>
        <v>6019454.5377525212</v>
      </c>
      <c r="P25" s="43">
        <f t="shared" si="5"/>
        <v>0</v>
      </c>
      <c r="Q25" s="86"/>
    </row>
    <row r="26" spans="2:17" x14ac:dyDescent="0.2">
      <c r="B26" s="42" t="s">
        <v>33</v>
      </c>
      <c r="C26" s="43">
        <f>SUMIF('Entrada CDRGL'!$E$8:$E$43,'Reliquidación CD RGL'!$B26,'Entrada CDRGL'!F$8:F$43)</f>
        <v>1101853</v>
      </c>
      <c r="D26" s="43">
        <f>SUMIF('Entrada CDRGL'!$E$8:$E$43,'Reliquidación CD RGL'!$B26,'Entrada CDRGL'!G$8:G$43)</f>
        <v>2017898</v>
      </c>
      <c r="E26" s="43">
        <f>SUMIF('Entrada CDRGL'!$E$8:$E$43,'Reliquidación CD RGL'!$B26,'Entrada CDRGL'!H$8:H$43)</f>
        <v>110826</v>
      </c>
      <c r="F26" s="43">
        <f>SUMIF('Entrada CDRGL'!$E$8:$E$43,'Reliquidación CD RGL'!$B26,'Entrada CDRGL'!I$8:I$43)</f>
        <v>8430</v>
      </c>
      <c r="G26" s="43">
        <f>SUMIF('Entrada CDRGL'!$E$8:$E$43,'Reliquidación CD RGL'!$B26,'Entrada CDRGL'!J$8:J$43)</f>
        <v>4403967.7973642014</v>
      </c>
      <c r="H26" s="43">
        <v>1319288.5574880131</v>
      </c>
      <c r="I26" s="43">
        <f t="shared" si="0"/>
        <v>1322663.0166630959</v>
      </c>
      <c r="J26" s="43">
        <v>0</v>
      </c>
      <c r="K26" s="43">
        <f t="shared" si="2"/>
        <v>0</v>
      </c>
      <c r="L26" s="43">
        <f t="shared" si="3"/>
        <v>5726630.8140272973</v>
      </c>
      <c r="M26" s="43">
        <f t="shared" si="4"/>
        <v>0</v>
      </c>
      <c r="N26" s="43">
        <f t="shared" si="6"/>
        <v>5726630.8140272973</v>
      </c>
      <c r="O26" s="43">
        <f t="shared" si="1"/>
        <v>-3651434.5632655178</v>
      </c>
      <c r="P26" s="43">
        <f t="shared" si="5"/>
        <v>2075196.2507617795</v>
      </c>
      <c r="Q26" s="86"/>
    </row>
    <row r="27" spans="2:17" x14ac:dyDescent="0.2">
      <c r="B27" s="42" t="s">
        <v>34</v>
      </c>
      <c r="C27" s="43">
        <f>SUMIF('Entrada CDRGL'!$E$8:$E$43,'Reliquidación CD RGL'!$B27,'Entrada CDRGL'!F$8:F$43)</f>
        <v>1776419</v>
      </c>
      <c r="D27" s="43">
        <f>SUMIF('Entrada CDRGL'!$E$8:$E$43,'Reliquidación CD RGL'!$B27,'Entrada CDRGL'!G$8:G$43)</f>
        <v>5939205</v>
      </c>
      <c r="E27" s="43">
        <f>SUMIF('Entrada CDRGL'!$E$8:$E$43,'Reliquidación CD RGL'!$B27,'Entrada CDRGL'!H$8:H$43)</f>
        <v>400445</v>
      </c>
      <c r="F27" s="43">
        <f>SUMIF('Entrada CDRGL'!$E$8:$E$43,'Reliquidación CD RGL'!$B27,'Entrada CDRGL'!I$8:I$43)</f>
        <v>98438</v>
      </c>
      <c r="G27" s="43">
        <f>SUMIF('Entrada CDRGL'!$E$8:$E$43,'Reliquidación CD RGL'!$B27,'Entrada CDRGL'!J$8:J$43)</f>
        <v>-1327856.9172710909</v>
      </c>
      <c r="H27" s="43">
        <v>56963.825551505375</v>
      </c>
      <c r="I27" s="43">
        <f t="shared" si="0"/>
        <v>57109.52688628091</v>
      </c>
      <c r="J27" s="43">
        <v>0</v>
      </c>
      <c r="K27" s="43">
        <f t="shared" si="2"/>
        <v>0</v>
      </c>
      <c r="L27" s="43">
        <f t="shared" si="3"/>
        <v>-1270747.39038481</v>
      </c>
      <c r="M27" s="43">
        <f t="shared" si="4"/>
        <v>1270747.39038481</v>
      </c>
      <c r="N27" s="43">
        <f t="shared" si="6"/>
        <v>0</v>
      </c>
      <c r="O27" s="43">
        <f t="shared" si="1"/>
        <v>1270747.39038481</v>
      </c>
      <c r="P27" s="43">
        <f t="shared" si="5"/>
        <v>0</v>
      </c>
      <c r="Q27" s="86"/>
    </row>
    <row r="28" spans="2:17" x14ac:dyDescent="0.2">
      <c r="B28" s="42" t="s">
        <v>35</v>
      </c>
      <c r="C28" s="43">
        <f>SUMIF('Entrada CDRGL'!$E$8:$E$43,'Reliquidación CD RGL'!$B28,'Entrada CDRGL'!F$8:F$43)</f>
        <v>18146722.66</v>
      </c>
      <c r="D28" s="43">
        <f>SUMIF('Entrada CDRGL'!$E$8:$E$43,'Reliquidación CD RGL'!$B28,'Entrada CDRGL'!G$8:G$43)</f>
        <v>65344272.25</v>
      </c>
      <c r="E28" s="43">
        <f>SUMIF('Entrada CDRGL'!$E$8:$E$43,'Reliquidación CD RGL'!$B28,'Entrada CDRGL'!H$8:H$43)</f>
        <v>283367.23</v>
      </c>
      <c r="F28" s="43">
        <f>SUMIF('Entrada CDRGL'!$E$8:$E$43,'Reliquidación CD RGL'!$B28,'Entrada CDRGL'!I$8:I$43)</f>
        <v>110007.8</v>
      </c>
      <c r="G28" s="43">
        <f>SUMIF('Entrada CDRGL'!$E$8:$E$43,'Reliquidación CD RGL'!$B28,'Entrada CDRGL'!J$8:J$43)</f>
        <v>-63019899.812932737</v>
      </c>
      <c r="H28" s="43">
        <v>0</v>
      </c>
      <c r="I28" s="43">
        <f t="shared" si="0"/>
        <v>0</v>
      </c>
      <c r="J28" s="43">
        <v>0</v>
      </c>
      <c r="K28" s="43">
        <f t="shared" si="2"/>
        <v>0</v>
      </c>
      <c r="L28" s="43">
        <f t="shared" si="3"/>
        <v>-63019899.812932737</v>
      </c>
      <c r="M28" s="43">
        <f t="shared" si="4"/>
        <v>63019899.812932737</v>
      </c>
      <c r="N28" s="43">
        <f t="shared" si="6"/>
        <v>0</v>
      </c>
      <c r="O28" s="43">
        <f t="shared" si="1"/>
        <v>63019899.812932737</v>
      </c>
      <c r="P28" s="43">
        <f t="shared" si="5"/>
        <v>0</v>
      </c>
      <c r="Q28" s="86"/>
    </row>
    <row r="29" spans="2:17" x14ac:dyDescent="0.2">
      <c r="B29" s="42" t="s">
        <v>36</v>
      </c>
      <c r="C29" s="43">
        <f>SUMIF('Entrada CDRGL'!$E$8:$E$43,'Reliquidación CD RGL'!$B29,'Entrada CDRGL'!F$8:F$43)</f>
        <v>7623977.3300000001</v>
      </c>
      <c r="D29" s="43">
        <f>SUMIF('Entrada CDRGL'!$E$8:$E$43,'Reliquidación CD RGL'!$B29,'Entrada CDRGL'!G$8:G$43)</f>
        <v>6686820.3399999999</v>
      </c>
      <c r="E29" s="43">
        <f>SUMIF('Entrada CDRGL'!$E$8:$E$43,'Reliquidación CD RGL'!$B29,'Entrada CDRGL'!H$8:H$43)</f>
        <v>128632</v>
      </c>
      <c r="F29" s="43">
        <f>SUMIF('Entrada CDRGL'!$E$8:$E$43,'Reliquidación CD RGL'!$B29,'Entrada CDRGL'!I$8:I$43)</f>
        <v>6261</v>
      </c>
      <c r="G29" s="43">
        <f>SUMIF('Entrada CDRGL'!$E$8:$E$43,'Reliquidación CD RGL'!$B29,'Entrada CDRGL'!J$8:J$43)</f>
        <v>-21172625.939113539</v>
      </c>
      <c r="H29" s="43">
        <v>0</v>
      </c>
      <c r="I29" s="43">
        <f t="shared" si="0"/>
        <v>0</v>
      </c>
      <c r="J29" s="43">
        <v>0</v>
      </c>
      <c r="K29" s="43">
        <f t="shared" si="2"/>
        <v>0</v>
      </c>
      <c r="L29" s="43">
        <f t="shared" si="3"/>
        <v>-21172625.939113539</v>
      </c>
      <c r="M29" s="43">
        <f t="shared" si="4"/>
        <v>21172625.939113539</v>
      </c>
      <c r="N29" s="43">
        <f t="shared" si="6"/>
        <v>0</v>
      </c>
      <c r="O29" s="43">
        <f t="shared" si="1"/>
        <v>21172625.939113539</v>
      </c>
      <c r="P29" s="43">
        <f t="shared" si="5"/>
        <v>0</v>
      </c>
      <c r="Q29" s="86"/>
    </row>
    <row r="30" spans="2:17" x14ac:dyDescent="0.2">
      <c r="B30" s="42" t="s">
        <v>37</v>
      </c>
      <c r="C30" s="43">
        <f>SUMIF('Entrada CDRGL'!$E$8:$E$43,'Reliquidación CD RGL'!$B30,'Entrada CDRGL'!F$8:F$43)</f>
        <v>39086898.990000002</v>
      </c>
      <c r="D30" s="43">
        <f>SUMIF('Entrada CDRGL'!$E$8:$E$43,'Reliquidación CD RGL'!$B30,'Entrada CDRGL'!G$8:G$43)</f>
        <v>116325295.42</v>
      </c>
      <c r="E30" s="43">
        <f>SUMIF('Entrada CDRGL'!$E$8:$E$43,'Reliquidación CD RGL'!$B30,'Entrada CDRGL'!H$8:H$43)</f>
        <v>139457.94</v>
      </c>
      <c r="F30" s="43">
        <f>SUMIF('Entrada CDRGL'!$E$8:$E$43,'Reliquidación CD RGL'!$B30,'Entrada CDRGL'!I$8:I$43)</f>
        <v>133164.53</v>
      </c>
      <c r="G30" s="43">
        <f>SUMIF('Entrada CDRGL'!$E$8:$E$43,'Reliquidación CD RGL'!$B30,'Entrada CDRGL'!J$8:J$43)</f>
        <v>-209159216.42783779</v>
      </c>
      <c r="H30" s="43">
        <v>0</v>
      </c>
      <c r="I30" s="43">
        <f t="shared" si="0"/>
        <v>0</v>
      </c>
      <c r="J30" s="43">
        <v>0</v>
      </c>
      <c r="K30" s="43">
        <f t="shared" si="2"/>
        <v>0</v>
      </c>
      <c r="L30" s="43">
        <f t="shared" si="3"/>
        <v>-209159216.42783779</v>
      </c>
      <c r="M30" s="43">
        <f t="shared" si="4"/>
        <v>209159216.42783779</v>
      </c>
      <c r="N30" s="43">
        <f t="shared" si="6"/>
        <v>0</v>
      </c>
      <c r="O30" s="43">
        <f t="shared" si="1"/>
        <v>209159216.42783779</v>
      </c>
      <c r="P30" s="43">
        <f t="shared" si="5"/>
        <v>0</v>
      </c>
      <c r="Q30" s="86"/>
    </row>
    <row r="31" spans="2:17" x14ac:dyDescent="0.2">
      <c r="B31" s="42" t="s">
        <v>38</v>
      </c>
      <c r="C31" s="43">
        <f>SUMIF('Entrada CDRGL'!$E$8:$E$43,'Reliquidación CD RGL'!$B31,'Entrada CDRGL'!F$8:F$43)</f>
        <v>1783537</v>
      </c>
      <c r="D31" s="43">
        <f>SUMIF('Entrada CDRGL'!$E$8:$E$43,'Reliquidación CD RGL'!$B31,'Entrada CDRGL'!G$8:G$43)</f>
        <v>2968035</v>
      </c>
      <c r="E31" s="43">
        <f>SUMIF('Entrada CDRGL'!$E$8:$E$43,'Reliquidación CD RGL'!$B31,'Entrada CDRGL'!H$8:H$43)</f>
        <v>51969</v>
      </c>
      <c r="F31" s="43">
        <f>SUMIF('Entrada CDRGL'!$E$8:$E$43,'Reliquidación CD RGL'!$B31,'Entrada CDRGL'!I$8:I$43)</f>
        <v>12553</v>
      </c>
      <c r="G31" s="43">
        <f>SUMIF('Entrada CDRGL'!$E$8:$E$43,'Reliquidación CD RGL'!$B31,'Entrada CDRGL'!J$8:J$43)</f>
        <v>3947080.215074019</v>
      </c>
      <c r="H31" s="43">
        <v>1145257.9480852075</v>
      </c>
      <c r="I31" s="43">
        <f t="shared" si="0"/>
        <v>1148187.2740229017</v>
      </c>
      <c r="J31" s="43">
        <v>0</v>
      </c>
      <c r="K31" s="43">
        <f t="shared" si="2"/>
        <v>0</v>
      </c>
      <c r="L31" s="43">
        <f t="shared" si="3"/>
        <v>5095267.4890969209</v>
      </c>
      <c r="M31" s="43">
        <f t="shared" si="4"/>
        <v>0</v>
      </c>
      <c r="N31" s="43">
        <f t="shared" si="6"/>
        <v>5095267.4890969209</v>
      </c>
      <c r="O31" s="43">
        <f t="shared" si="1"/>
        <v>-3248862.4503606637</v>
      </c>
      <c r="P31" s="43">
        <f t="shared" si="5"/>
        <v>1846405.0387362572</v>
      </c>
      <c r="Q31" s="86"/>
    </row>
    <row r="32" spans="2:17" x14ac:dyDescent="0.2">
      <c r="B32" s="42" t="s">
        <v>39</v>
      </c>
      <c r="C32" s="43">
        <f>SUMIF('Entrada CDRGL'!$E$8:$E$43,'Reliquidación CD RGL'!$B32,'Entrada CDRGL'!F$8:F$43)</f>
        <v>36273940.112099998</v>
      </c>
      <c r="D32" s="43">
        <f>SUMIF('Entrada CDRGL'!$E$8:$E$43,'Reliquidación CD RGL'!$B32,'Entrada CDRGL'!G$8:G$43)</f>
        <v>128248876.10401</v>
      </c>
      <c r="E32" s="43">
        <f>SUMIF('Entrada CDRGL'!$E$8:$E$43,'Reliquidación CD RGL'!$B32,'Entrada CDRGL'!H$8:H$43)</f>
        <v>2332269.7999999998</v>
      </c>
      <c r="F32" s="43">
        <f>SUMIF('Entrada CDRGL'!$E$8:$E$43,'Reliquidación CD RGL'!$B32,'Entrada CDRGL'!I$8:I$43)</f>
        <v>716217</v>
      </c>
      <c r="G32" s="43">
        <f>SUMIF('Entrada CDRGL'!$E$8:$E$43,'Reliquidación CD RGL'!$B32,'Entrada CDRGL'!J$8:J$43)</f>
        <v>-230197682.44459769</v>
      </c>
      <c r="H32" s="43">
        <v>0</v>
      </c>
      <c r="I32" s="43">
        <f t="shared" si="0"/>
        <v>0</v>
      </c>
      <c r="J32" s="43">
        <v>0</v>
      </c>
      <c r="K32" s="43">
        <f t="shared" si="2"/>
        <v>0</v>
      </c>
      <c r="L32" s="43">
        <f t="shared" si="3"/>
        <v>-230197682.44459769</v>
      </c>
      <c r="M32" s="43">
        <f t="shared" si="4"/>
        <v>230197682.44459769</v>
      </c>
      <c r="N32" s="43">
        <f t="shared" si="6"/>
        <v>0</v>
      </c>
      <c r="O32" s="43">
        <f t="shared" si="1"/>
        <v>230197682.44459769</v>
      </c>
      <c r="P32" s="43">
        <f t="shared" si="5"/>
        <v>0</v>
      </c>
      <c r="Q32" s="86"/>
    </row>
    <row r="33" spans="2:17" x14ac:dyDescent="0.2">
      <c r="B33" s="42" t="s">
        <v>40</v>
      </c>
      <c r="C33" s="43">
        <f>SUMIF('Entrada CDRGL'!$E$8:$E$43,'Reliquidación CD RGL'!$B33,'Entrada CDRGL'!F$8:F$43)</f>
        <v>1423339.4</v>
      </c>
      <c r="D33" s="43">
        <f>SUMIF('Entrada CDRGL'!$E$8:$E$43,'Reliquidación CD RGL'!$B33,'Entrada CDRGL'!G$8:G$43)</f>
        <v>2691623.3</v>
      </c>
      <c r="E33" s="43">
        <f>SUMIF('Entrada CDRGL'!$E$8:$E$43,'Reliquidación CD RGL'!$B33,'Entrada CDRGL'!H$8:H$43)</f>
        <v>50207</v>
      </c>
      <c r="F33" s="43">
        <f>SUMIF('Entrada CDRGL'!$E$8:$E$43,'Reliquidación CD RGL'!$B33,'Entrada CDRGL'!I$8:I$43)</f>
        <v>95861</v>
      </c>
      <c r="G33" s="43">
        <f>SUMIF('Entrada CDRGL'!$E$8:$E$43,'Reliquidación CD RGL'!$B33,'Entrada CDRGL'!J$8:J$43)</f>
        <v>6148458.6389900828</v>
      </c>
      <c r="H33" s="43">
        <v>1500643.2988676904</v>
      </c>
      <c r="I33" s="43">
        <f t="shared" si="0"/>
        <v>1504481.6248500156</v>
      </c>
      <c r="J33" s="43">
        <v>0</v>
      </c>
      <c r="K33" s="43">
        <f t="shared" si="2"/>
        <v>0</v>
      </c>
      <c r="L33" s="43">
        <f t="shared" si="3"/>
        <v>7652940.2638400979</v>
      </c>
      <c r="M33" s="43">
        <f t="shared" si="4"/>
        <v>0</v>
      </c>
      <c r="N33" s="43">
        <f t="shared" si="6"/>
        <v>7652940.2638400979</v>
      </c>
      <c r="O33" s="43">
        <f t="shared" si="1"/>
        <v>-4879694.7974266354</v>
      </c>
      <c r="P33" s="43">
        <f t="shared" si="5"/>
        <v>2773245.4664134625</v>
      </c>
      <c r="Q33" s="86"/>
    </row>
    <row r="34" spans="2:17" x14ac:dyDescent="0.2">
      <c r="B34" s="42" t="s">
        <v>41</v>
      </c>
      <c r="C34" s="43">
        <f>SUMIF('Entrada CDRGL'!$E$8:$E$43,'Reliquidación CD RGL'!$B34,'Entrada CDRGL'!F$8:F$43)</f>
        <v>1276707</v>
      </c>
      <c r="D34" s="43">
        <f>SUMIF('Entrada CDRGL'!$E$8:$E$43,'Reliquidación CD RGL'!$B34,'Entrada CDRGL'!G$8:G$43)</f>
        <v>8790443.6421000008</v>
      </c>
      <c r="E34" s="43">
        <f>SUMIF('Entrada CDRGL'!$E$8:$E$43,'Reliquidación CD RGL'!$B34,'Entrada CDRGL'!H$8:H$43)</f>
        <v>6255</v>
      </c>
      <c r="F34" s="43">
        <f>SUMIF('Entrada CDRGL'!$E$8:$E$43,'Reliquidación CD RGL'!$B34,'Entrada CDRGL'!I$8:I$43)</f>
        <v>42218</v>
      </c>
      <c r="G34" s="43">
        <f>SUMIF('Entrada CDRGL'!$E$8:$E$43,'Reliquidación CD RGL'!$B34,'Entrada CDRGL'!J$8:J$43)</f>
        <v>14987915.420980129</v>
      </c>
      <c r="H34" s="43">
        <v>4958034.0586610306</v>
      </c>
      <c r="I34" s="43">
        <f t="shared" si="0"/>
        <v>4970715.6539228568</v>
      </c>
      <c r="J34" s="43">
        <v>0</v>
      </c>
      <c r="K34" s="43">
        <f t="shared" si="2"/>
        <v>0</v>
      </c>
      <c r="L34" s="43">
        <f t="shared" si="3"/>
        <v>19958631.074902985</v>
      </c>
      <c r="M34" s="43">
        <f t="shared" si="4"/>
        <v>0</v>
      </c>
      <c r="N34" s="43">
        <f t="shared" si="6"/>
        <v>19958631.074902985</v>
      </c>
      <c r="O34" s="43">
        <f t="shared" si="1"/>
        <v>-12726092.829985352</v>
      </c>
      <c r="P34" s="43">
        <f t="shared" si="5"/>
        <v>7232538.244917633</v>
      </c>
      <c r="Q34" s="86"/>
    </row>
    <row r="35" spans="2:17" x14ac:dyDescent="0.2">
      <c r="B35" s="42" t="s">
        <v>42</v>
      </c>
      <c r="C35" s="43">
        <f>SUMIF('Entrada CDRGL'!$E$8:$E$43,'Reliquidación CD RGL'!$B35,'Entrada CDRGL'!F$8:F$43)</f>
        <v>4811501.0999999996</v>
      </c>
      <c r="D35" s="43">
        <f>SUMIF('Entrada CDRGL'!$E$8:$E$43,'Reliquidación CD RGL'!$B35,'Entrada CDRGL'!G$8:G$43)</f>
        <v>5595383.0766000003</v>
      </c>
      <c r="E35" s="43">
        <f>SUMIF('Entrada CDRGL'!$E$8:$E$43,'Reliquidación CD RGL'!$B35,'Entrada CDRGL'!H$8:H$43)</f>
        <v>350281.9</v>
      </c>
      <c r="F35" s="43">
        <f>SUMIF('Entrada CDRGL'!$E$8:$E$43,'Reliquidación CD RGL'!$B35,'Entrada CDRGL'!I$8:I$43)</f>
        <v>32102.6001</v>
      </c>
      <c r="G35" s="43">
        <f>SUMIF('Entrada CDRGL'!$E$8:$E$43,'Reliquidación CD RGL'!$B35,'Entrada CDRGL'!J$8:J$43)</f>
        <v>-47015169.680569507</v>
      </c>
      <c r="H35" s="43">
        <v>0</v>
      </c>
      <c r="I35" s="43">
        <f t="shared" si="0"/>
        <v>0</v>
      </c>
      <c r="J35" s="43">
        <v>0</v>
      </c>
      <c r="K35" s="43">
        <f t="shared" si="2"/>
        <v>0</v>
      </c>
      <c r="L35" s="43">
        <f t="shared" si="3"/>
        <v>-47015169.680569507</v>
      </c>
      <c r="M35" s="43">
        <f t="shared" si="4"/>
        <v>47015169.680569507</v>
      </c>
      <c r="N35" s="43">
        <f t="shared" si="6"/>
        <v>0</v>
      </c>
      <c r="O35" s="43">
        <f t="shared" si="1"/>
        <v>47015169.680569507</v>
      </c>
      <c r="P35" s="43">
        <f t="shared" si="5"/>
        <v>0</v>
      </c>
      <c r="Q35" s="86"/>
    </row>
    <row r="36" spans="2:17" x14ac:dyDescent="0.2">
      <c r="B36" s="42" t="s">
        <v>43</v>
      </c>
      <c r="C36" s="43">
        <f>SUMIF('Entrada CDRGL'!$E$8:$E$43,'Reliquidación CD RGL'!$B36,'Entrada CDRGL'!F$8:F$43)</f>
        <v>4149649.6000999999</v>
      </c>
      <c r="D36" s="43">
        <f>SUMIF('Entrada CDRGL'!$E$8:$E$43,'Reliquidación CD RGL'!$B36,'Entrada CDRGL'!G$8:G$43)</f>
        <v>4140508.7782999999</v>
      </c>
      <c r="E36" s="43">
        <f>SUMIF('Entrada CDRGL'!$E$8:$E$43,'Reliquidación CD RGL'!$B36,'Entrada CDRGL'!H$8:H$43)</f>
        <v>399746</v>
      </c>
      <c r="F36" s="43">
        <f>SUMIF('Entrada CDRGL'!$E$8:$E$43,'Reliquidación CD RGL'!$B36,'Entrada CDRGL'!I$8:I$43)</f>
        <v>76905.2</v>
      </c>
      <c r="G36" s="43">
        <f>SUMIF('Entrada CDRGL'!$E$8:$E$43,'Reliquidación CD RGL'!$B36,'Entrada CDRGL'!J$8:J$43)</f>
        <v>10227850.29533772</v>
      </c>
      <c r="H36" s="43">
        <v>2324700.035382892</v>
      </c>
      <c r="I36" s="43">
        <f t="shared" si="0"/>
        <v>2330646.1230065501</v>
      </c>
      <c r="J36" s="43">
        <v>0</v>
      </c>
      <c r="K36" s="43">
        <f t="shared" si="2"/>
        <v>0</v>
      </c>
      <c r="L36" s="43">
        <f t="shared" si="3"/>
        <v>12558496.41834427</v>
      </c>
      <c r="M36" s="43">
        <f t="shared" si="4"/>
        <v>0</v>
      </c>
      <c r="N36" s="43">
        <f t="shared" si="6"/>
        <v>12558496.41834427</v>
      </c>
      <c r="O36" s="43">
        <f t="shared" si="1"/>
        <v>-8007592.836657743</v>
      </c>
      <c r="P36" s="43">
        <f t="shared" si="5"/>
        <v>4550903.5816865275</v>
      </c>
      <c r="Q36" s="86"/>
    </row>
    <row r="37" spans="2:17" x14ac:dyDescent="0.2">
      <c r="B37" s="42" t="s">
        <v>45</v>
      </c>
      <c r="C37" s="43">
        <f>SUMIF('Entrada CDRGL'!$E$8:$E$43,'Reliquidación CD RGL'!$B37,'Entrada CDRGL'!F$8:F$43)</f>
        <v>615895</v>
      </c>
      <c r="D37" s="43">
        <f>SUMIF('Entrada CDRGL'!$E$8:$E$43,'Reliquidación CD RGL'!$B37,'Entrada CDRGL'!G$8:G$43)</f>
        <v>789659</v>
      </c>
      <c r="E37" s="43">
        <f>SUMIF('Entrada CDRGL'!$E$8:$E$43,'Reliquidación CD RGL'!$B37,'Entrada CDRGL'!H$8:H$43)</f>
        <v>56693</v>
      </c>
      <c r="F37" s="43">
        <f>SUMIF('Entrada CDRGL'!$E$8:$E$43,'Reliquidación CD RGL'!$B37,'Entrada CDRGL'!I$8:I$43)</f>
        <v>12236</v>
      </c>
      <c r="G37" s="43">
        <f>SUMIF('Entrada CDRGL'!$E$8:$E$43,'Reliquidación CD RGL'!$B37,'Entrada CDRGL'!J$8:J$43)</f>
        <v>-12415376.391369071</v>
      </c>
      <c r="H37" s="43">
        <v>0</v>
      </c>
      <c r="I37" s="43">
        <f t="shared" si="0"/>
        <v>0</v>
      </c>
      <c r="J37" s="43">
        <v>0</v>
      </c>
      <c r="K37" s="43">
        <f t="shared" si="2"/>
        <v>0</v>
      </c>
      <c r="L37" s="43">
        <f t="shared" si="3"/>
        <v>-12415376.391369071</v>
      </c>
      <c r="M37" s="43">
        <f t="shared" si="4"/>
        <v>12415376.391369071</v>
      </c>
      <c r="N37" s="43">
        <f t="shared" si="6"/>
        <v>0</v>
      </c>
      <c r="O37" s="43">
        <f t="shared" si="1"/>
        <v>12415376.391369071</v>
      </c>
      <c r="P37" s="43">
        <f t="shared" si="5"/>
        <v>0</v>
      </c>
      <c r="Q37" s="86"/>
    </row>
    <row r="38" spans="2:17" x14ac:dyDescent="0.2">
      <c r="B38" s="42" t="s">
        <v>46</v>
      </c>
      <c r="C38" s="43">
        <f>SUMIF('Entrada CDRGL'!$E$8:$E$43,'Reliquidación CD RGL'!$B38,'Entrada CDRGL'!F$8:F$43)</f>
        <v>4020505.8080000002</v>
      </c>
      <c r="D38" s="43">
        <f>SUMIF('Entrada CDRGL'!$E$8:$E$43,'Reliquidación CD RGL'!$B38,'Entrada CDRGL'!G$8:G$43)</f>
        <v>17385830.765000001</v>
      </c>
      <c r="E38" s="43">
        <f>SUMIF('Entrada CDRGL'!$E$8:$E$43,'Reliquidación CD RGL'!$B38,'Entrada CDRGL'!H$8:H$43)</f>
        <v>11442.5</v>
      </c>
      <c r="F38" s="43">
        <f>SUMIF('Entrada CDRGL'!$E$8:$E$43,'Reliquidación CD RGL'!$B38,'Entrada CDRGL'!I$8:I$43)</f>
        <v>28832.008999999998</v>
      </c>
      <c r="G38" s="43">
        <f>SUMIF('Entrada CDRGL'!$E$8:$E$43,'Reliquidación CD RGL'!$B38,'Entrada CDRGL'!J$8:J$43)</f>
        <v>36215004.693553187</v>
      </c>
      <c r="H38" s="43">
        <v>10334091.858836785</v>
      </c>
      <c r="I38" s="43">
        <f t="shared" si="0"/>
        <v>10360524.265069125</v>
      </c>
      <c r="J38" s="43">
        <v>0</v>
      </c>
      <c r="K38" s="43">
        <f t="shared" si="2"/>
        <v>0</v>
      </c>
      <c r="L38" s="43">
        <f t="shared" si="3"/>
        <v>46575528.958622314</v>
      </c>
      <c r="M38" s="43">
        <f>IF(L38&lt;0,-L38,0)</f>
        <v>0</v>
      </c>
      <c r="N38" s="43">
        <f>IF(L38&gt;0,L38,0)</f>
        <v>46575528.958622314</v>
      </c>
      <c r="O38" s="43">
        <f t="shared" si="1"/>
        <v>-29697653.256310806</v>
      </c>
      <c r="P38" s="43">
        <f t="shared" si="5"/>
        <v>16877875.702311508</v>
      </c>
      <c r="Q38" s="86"/>
    </row>
    <row r="39" spans="2:17" x14ac:dyDescent="0.2">
      <c r="B39" s="42" t="s">
        <v>47</v>
      </c>
      <c r="C39" s="43">
        <f>SUMIF('Entrada CDRGL'!$E$8:$E$43,'Reliquidación CD RGL'!$B39,'Entrada CDRGL'!F$8:F$43)</f>
        <v>5415989.6499999994</v>
      </c>
      <c r="D39" s="43">
        <f>SUMIF('Entrada CDRGL'!$E$8:$E$43,'Reliquidación CD RGL'!$B39,'Entrada CDRGL'!G$8:G$43)</f>
        <v>26615885.381000001</v>
      </c>
      <c r="E39" s="43">
        <f>SUMIF('Entrada CDRGL'!$E$8:$E$43,'Reliquidación CD RGL'!$B39,'Entrada CDRGL'!H$8:H$43)</f>
        <v>22564.501</v>
      </c>
      <c r="F39" s="43">
        <f>SUMIF('Entrada CDRGL'!$E$8:$E$43,'Reliquidación CD RGL'!$B39,'Entrada CDRGL'!I$8:I$43)</f>
        <v>23740.393</v>
      </c>
      <c r="G39" s="43">
        <f>SUMIF('Entrada CDRGL'!$E$8:$E$43,'Reliquidación CD RGL'!$B39,'Entrada CDRGL'!J$8:J$43)</f>
        <v>-94695137.867541403</v>
      </c>
      <c r="H39" s="43">
        <v>0</v>
      </c>
      <c r="I39" s="43">
        <f t="shared" si="0"/>
        <v>0</v>
      </c>
      <c r="J39" s="43">
        <v>0</v>
      </c>
      <c r="K39" s="43">
        <f t="shared" si="2"/>
        <v>0</v>
      </c>
      <c r="L39" s="43">
        <f t="shared" si="3"/>
        <v>-94695137.867541403</v>
      </c>
      <c r="M39" s="43">
        <f t="shared" si="4"/>
        <v>94695137.867541403</v>
      </c>
      <c r="N39" s="43">
        <f t="shared" si="6"/>
        <v>0</v>
      </c>
      <c r="O39" s="43">
        <f t="shared" si="1"/>
        <v>94695137.867541403</v>
      </c>
      <c r="P39" s="43">
        <f t="shared" si="5"/>
        <v>0</v>
      </c>
      <c r="Q39" s="86"/>
    </row>
    <row r="40" spans="2:17" x14ac:dyDescent="0.2">
      <c r="B40" s="42" t="s">
        <v>48</v>
      </c>
      <c r="C40" s="43">
        <f>SUMIF('Entrada CDRGL'!$E$8:$E$43,'Reliquidación CD RGL'!$B40,'Entrada CDRGL'!F$8:F$43)</f>
        <v>12467732.339</v>
      </c>
      <c r="D40" s="43">
        <f>SUMIF('Entrada CDRGL'!$E$8:$E$43,'Reliquidación CD RGL'!$B40,'Entrada CDRGL'!G$8:G$43)</f>
        <v>48478175.480999999</v>
      </c>
      <c r="E40" s="43">
        <f>SUMIF('Entrada CDRGL'!$E$8:$E$43,'Reliquidación CD RGL'!$B40,'Entrada CDRGL'!H$8:H$43)</f>
        <v>38307.54</v>
      </c>
      <c r="F40" s="43">
        <f>SUMIF('Entrada CDRGL'!$E$8:$E$43,'Reliquidación CD RGL'!$B40,'Entrada CDRGL'!I$8:I$43)</f>
        <v>77095.680999999997</v>
      </c>
      <c r="G40" s="43">
        <f>SUMIF('Entrada CDRGL'!$E$8:$E$43,'Reliquidación CD RGL'!$B40,'Entrada CDRGL'!J$8:J$43)</f>
        <v>-167751677.44034991</v>
      </c>
      <c r="H40" s="43">
        <v>0</v>
      </c>
      <c r="I40" s="43">
        <f t="shared" si="0"/>
        <v>0</v>
      </c>
      <c r="J40" s="43">
        <v>0</v>
      </c>
      <c r="K40" s="43">
        <f t="shared" si="2"/>
        <v>0</v>
      </c>
      <c r="L40" s="43">
        <f t="shared" si="3"/>
        <v>-167751677.44034991</v>
      </c>
      <c r="M40" s="43">
        <f t="shared" si="4"/>
        <v>167751677.44034991</v>
      </c>
      <c r="N40" s="43">
        <f t="shared" si="6"/>
        <v>0</v>
      </c>
      <c r="O40" s="43">
        <f t="shared" si="1"/>
        <v>167751677.44034991</v>
      </c>
      <c r="P40" s="43">
        <f t="shared" si="5"/>
        <v>0</v>
      </c>
      <c r="Q40" s="86"/>
    </row>
    <row r="41" spans="2:17" x14ac:dyDescent="0.2">
      <c r="B41" s="42" t="s">
        <v>49</v>
      </c>
      <c r="C41" s="43">
        <f>SUMIF('Entrada CDRGL'!$E$8:$E$43,'Reliquidación CD RGL'!$B41,'Entrada CDRGL'!F$8:F$43)</f>
        <v>0</v>
      </c>
      <c r="D41" s="43">
        <f>SUMIF('Entrada CDRGL'!$E$8:$E$43,'Reliquidación CD RGL'!$B41,'Entrada CDRGL'!G$8:G$43)</f>
        <v>0</v>
      </c>
      <c r="E41" s="43">
        <f>SUMIF('Entrada CDRGL'!$E$8:$E$43,'Reliquidación CD RGL'!$B41,'Entrada CDRGL'!H$8:H$43)</f>
        <v>0</v>
      </c>
      <c r="F41" s="43">
        <f>SUMIF('Entrada CDRGL'!$E$8:$E$43,'Reliquidación CD RGL'!$B41,'Entrada CDRGL'!I$8:I$43)</f>
        <v>0</v>
      </c>
      <c r="G41" s="43">
        <f>SUMIF('Entrada CDRGL'!$E$8:$E$43,'Reliquidación CD RGL'!$B41,'Entrada CDRGL'!J$8:J$43)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2"/>
        <v>0</v>
      </c>
      <c r="L41" s="43">
        <f t="shared" si="3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  <c r="Q41" s="86"/>
    </row>
    <row r="42" spans="2:17" x14ac:dyDescent="0.2">
      <c r="B42" s="42" t="s">
        <v>50</v>
      </c>
      <c r="C42" s="43">
        <f>SUMIF('Entrada CDRGL'!$E$8:$E$43,'Reliquidación CD RGL'!$B42,'Entrada CDRGL'!F$8:F$43)</f>
        <v>0</v>
      </c>
      <c r="D42" s="43">
        <f>SUMIF('Entrada CDRGL'!$E$8:$E$43,'Reliquidación CD RGL'!$B42,'Entrada CDRGL'!G$8:G$43)</f>
        <v>7376</v>
      </c>
      <c r="E42" s="43">
        <f>SUMIF('Entrada CDRGL'!$E$8:$E$43,'Reliquidación CD RGL'!$B42,'Entrada CDRGL'!H$8:H$43)</f>
        <v>0</v>
      </c>
      <c r="F42" s="43">
        <f>SUMIF('Entrada CDRGL'!$E$8:$E$43,'Reliquidación CD RGL'!$B42,'Entrada CDRGL'!I$8:I$43)</f>
        <v>0</v>
      </c>
      <c r="G42" s="43">
        <f>SUMIF('Entrada CDRGL'!$E$8:$E$43,'Reliquidación CD RGL'!$B42,'Entrada CDRGL'!J$8:J$43)</f>
        <v>0</v>
      </c>
      <c r="H42" s="43">
        <v>0</v>
      </c>
      <c r="I42" s="43">
        <f t="shared" si="0"/>
        <v>0</v>
      </c>
      <c r="J42" s="43">
        <v>0</v>
      </c>
      <c r="K42" s="43">
        <f t="shared" si="2"/>
        <v>0</v>
      </c>
      <c r="L42" s="43">
        <f t="shared" si="3"/>
        <v>0</v>
      </c>
      <c r="M42" s="43">
        <f>IF(L42&lt;0,-L42,0)</f>
        <v>0</v>
      </c>
      <c r="N42" s="43">
        <f>IF(L42&gt;0,L42,0)</f>
        <v>0</v>
      </c>
      <c r="O42" s="43">
        <f t="shared" si="1"/>
        <v>0</v>
      </c>
      <c r="P42" s="43">
        <f>L42+O42</f>
        <v>0</v>
      </c>
      <c r="Q42" s="86"/>
    </row>
    <row r="43" spans="2:17" x14ac:dyDescent="0.2">
      <c r="B43" s="44" t="s">
        <v>51</v>
      </c>
      <c r="C43" s="45">
        <f>SUMIF('Entrada CDRGL'!$E$8:$E$43,'Reliquidación CD RGL'!$B43,'Entrada CDRGL'!F$8:F$43)</f>
        <v>30000.9</v>
      </c>
      <c r="D43" s="45">
        <f>SUMIF('Entrada CDRGL'!$E$8:$E$43,'Reliquidación CD RGL'!$B43,'Entrada CDRGL'!G$8:G$43)</f>
        <v>49706.2</v>
      </c>
      <c r="E43" s="45">
        <f>SUMIF('Entrada CDRGL'!$E$8:$E$43,'Reliquidación CD RGL'!$B43,'Entrada CDRGL'!H$8:H$43)</f>
        <v>0</v>
      </c>
      <c r="F43" s="45">
        <f>SUMIF('Entrada CDRGL'!$E$8:$E$43,'Reliquidación CD RGL'!$B43,'Entrada CDRGL'!I$8:I$43)</f>
        <v>0</v>
      </c>
      <c r="G43" s="45">
        <f>SUMIF('Entrada CDRGL'!$E$8:$E$43,'Reliquidación CD RGL'!$B43,'Entrada CDRGL'!J$8:J$43)</f>
        <v>-1883728.176607826</v>
      </c>
      <c r="H43" s="45">
        <v>0</v>
      </c>
      <c r="I43" s="45">
        <f t="shared" si="0"/>
        <v>0</v>
      </c>
      <c r="J43" s="45">
        <v>0</v>
      </c>
      <c r="K43" s="45">
        <f t="shared" si="2"/>
        <v>0</v>
      </c>
      <c r="L43" s="45">
        <f t="shared" si="3"/>
        <v>-1883728.176607826</v>
      </c>
      <c r="M43" s="45">
        <f t="shared" si="4"/>
        <v>1883728.176607826</v>
      </c>
      <c r="N43" s="45">
        <f t="shared" si="6"/>
        <v>0</v>
      </c>
      <c r="O43" s="45">
        <f>IF(OR($M$44=0,$N$44=0),0,((M43/$M$44-N43/$N$44)*$N$49))</f>
        <v>1883728.176607826</v>
      </c>
      <c r="P43" s="45">
        <f t="shared" si="5"/>
        <v>0</v>
      </c>
      <c r="Q43" s="86"/>
    </row>
    <row r="44" spans="2:17" x14ac:dyDescent="0.2">
      <c r="B44" s="46" t="s">
        <v>66</v>
      </c>
      <c r="C44" s="16">
        <f t="shared" ref="C44:O44" si="7">SUM(C9:C43)</f>
        <v>456949536.07419991</v>
      </c>
      <c r="D44" s="16">
        <f t="shared" si="7"/>
        <v>1620563581.3066113</v>
      </c>
      <c r="E44" s="16">
        <f t="shared" si="7"/>
        <v>12772706.318999998</v>
      </c>
      <c r="F44" s="16">
        <f t="shared" si="7"/>
        <v>4990482.6930999998</v>
      </c>
      <c r="G44" s="16">
        <f t="shared" si="7"/>
        <v>229768046.54570574</v>
      </c>
      <c r="H44" s="16">
        <f>SUM(H9:H43)</f>
        <v>411544904.71872622</v>
      </c>
      <c r="I44" s="16">
        <f>SUM(I9:I43)</f>
        <v>412597548.94261819</v>
      </c>
      <c r="J44" s="16">
        <f t="shared" ref="J44:K44" si="8">SUM(J9:J43)</f>
        <v>0</v>
      </c>
      <c r="K44" s="16">
        <f t="shared" si="8"/>
        <v>0</v>
      </c>
      <c r="L44" s="16">
        <f>SUM(L9:L43)</f>
        <v>642365595.48832333</v>
      </c>
      <c r="M44" s="16">
        <f t="shared" si="7"/>
        <v>1130281503.138644</v>
      </c>
      <c r="N44" s="16">
        <f t="shared" si="7"/>
        <v>1772647098.6269679</v>
      </c>
      <c r="O44" s="16">
        <f t="shared" si="7"/>
        <v>-2.1187588572502136E-8</v>
      </c>
      <c r="P44" s="16">
        <f>SUM(P9:P43)</f>
        <v>642365595.48832369</v>
      </c>
    </row>
    <row r="45" spans="2:17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58"/>
      <c r="I47" s="17"/>
      <c r="J47" s="17"/>
      <c r="K47" s="17"/>
      <c r="L47" s="17"/>
      <c r="M47" s="7" t="s">
        <v>92</v>
      </c>
      <c r="N47" s="53">
        <f>N44</f>
        <v>1772647098.6269679</v>
      </c>
      <c r="O47"/>
    </row>
    <row r="48" spans="2:17" x14ac:dyDescent="0.2">
      <c r="B48"/>
      <c r="C48"/>
      <c r="H48" s="52"/>
      <c r="I48" s="17"/>
      <c r="J48" s="17"/>
      <c r="K48" s="17"/>
      <c r="L48" s="17"/>
      <c r="M48" s="7" t="s">
        <v>93</v>
      </c>
      <c r="N48" s="53">
        <f>M44</f>
        <v>1130281503.138644</v>
      </c>
      <c r="O48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1130281503.138644</v>
      </c>
      <c r="O49"/>
      <c r="P49" s="54"/>
    </row>
    <row r="50" spans="2:16" x14ac:dyDescent="0.2">
      <c r="M50" s="17"/>
      <c r="N50"/>
    </row>
    <row r="51" spans="2:16" x14ac:dyDescent="0.2">
      <c r="G51" s="54"/>
      <c r="H51" s="54"/>
    </row>
    <row r="52" spans="2:16" x14ac:dyDescent="0.2">
      <c r="H52" s="11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A174-82FC-432C-9556-677C138FA0B9}">
  <sheetPr codeName="Hoja2">
    <tabColor theme="9" tint="0.59999389629810485"/>
  </sheetPr>
  <dimension ref="A2:U81"/>
  <sheetViews>
    <sheetView zoomScale="70" zoomScaleNormal="70" workbookViewId="0"/>
  </sheetViews>
  <sheetFormatPr baseColWidth="10" defaultColWidth="11.42578125" defaultRowHeight="12.75" x14ac:dyDescent="0.2"/>
  <cols>
    <col min="1" max="1" width="9.140625" style="87" customWidth="1"/>
    <col min="2" max="2" width="28" style="87" customWidth="1"/>
    <col min="3" max="3" width="17" style="87" customWidth="1"/>
    <col min="4" max="4" width="18.7109375" style="87" customWidth="1"/>
    <col min="5" max="5" width="20" style="87" customWidth="1"/>
    <col min="6" max="6" width="25.28515625" style="87" customWidth="1"/>
    <col min="7" max="7" width="18.140625" style="87" customWidth="1"/>
    <col min="8" max="8" width="14.5703125" style="87" customWidth="1"/>
    <col min="9" max="9" width="21.42578125" style="87" customWidth="1"/>
    <col min="10" max="10" width="17.42578125" style="87" customWidth="1"/>
    <col min="11" max="13" width="19.42578125" style="87" customWidth="1"/>
    <col min="14" max="14" width="15.42578125" style="87" bestFit="1" customWidth="1"/>
    <col min="15" max="15" width="15.140625" style="87" customWidth="1"/>
    <col min="16" max="16" width="15.28515625" style="87" bestFit="1" customWidth="1"/>
    <col min="17" max="17" width="14" style="87" bestFit="1" customWidth="1"/>
    <col min="18" max="22" width="10.85546875" style="87" customWidth="1"/>
    <col min="23" max="23" width="13.28515625" style="87" bestFit="1" customWidth="1"/>
    <col min="24" max="24" width="15.85546875" style="87" bestFit="1" customWidth="1"/>
    <col min="25" max="25" width="17" style="87" bestFit="1" customWidth="1"/>
    <col min="26" max="26" width="17.85546875" style="87" customWidth="1"/>
    <col min="27" max="16384" width="11.42578125" style="87"/>
  </cols>
  <sheetData>
    <row r="2" spans="1:10" x14ac:dyDescent="0.2">
      <c r="B2" s="88" t="s">
        <v>94</v>
      </c>
      <c r="C2" s="88"/>
      <c r="D2" s="88"/>
      <c r="E2" s="88"/>
      <c r="F2" s="88"/>
      <c r="G2" s="88"/>
      <c r="H2" s="88"/>
      <c r="J2" s="50" t="s">
        <v>95</v>
      </c>
    </row>
    <row r="3" spans="1:10" x14ac:dyDescent="0.2">
      <c r="B3" s="89">
        <f>FechaFacturacion</f>
        <v>45597</v>
      </c>
      <c r="C3" s="90"/>
      <c r="D3" s="90"/>
      <c r="E3" s="90"/>
      <c r="F3" s="90"/>
      <c r="G3" s="90"/>
      <c r="H3" s="90"/>
    </row>
    <row r="6" spans="1:10" ht="12.75" customHeight="1" x14ac:dyDescent="0.2">
      <c r="B6" s="91" t="s">
        <v>6</v>
      </c>
      <c r="C6" s="92" t="s">
        <v>78</v>
      </c>
      <c r="E6" s="91" t="s">
        <v>6</v>
      </c>
      <c r="F6" s="29" t="s">
        <v>79</v>
      </c>
      <c r="G6" s="92" t="s">
        <v>80</v>
      </c>
      <c r="I6" s="91" t="s">
        <v>81</v>
      </c>
      <c r="J6" s="93" cm="1">
        <f t="array" ref="J6">SUMPRODUCT(($G$8:$G$32&gt;0)*($G$8:$G$32))</f>
        <v>971865596.37221122</v>
      </c>
    </row>
    <row r="7" spans="1:10" ht="27" customHeight="1" x14ac:dyDescent="0.2">
      <c r="B7" s="91"/>
      <c r="C7" s="94"/>
      <c r="E7" s="91"/>
      <c r="F7" s="34"/>
      <c r="G7" s="94"/>
      <c r="I7" s="91"/>
      <c r="J7" s="93"/>
    </row>
    <row r="8" spans="1:10" x14ac:dyDescent="0.2">
      <c r="B8" s="95" t="s">
        <v>14</v>
      </c>
      <c r="C8" s="96">
        <f>'Reliquidación CD RGL'!O9</f>
        <v>658681.5432889252</v>
      </c>
      <c r="D8" s="97"/>
      <c r="E8" s="95" t="s">
        <v>14</v>
      </c>
      <c r="F8" s="98">
        <v>47922.67670716883</v>
      </c>
      <c r="G8" s="98">
        <f>VLOOKUP(E8,$B$8:$C$42,2,0)+F8</f>
        <v>706604.21999609401</v>
      </c>
      <c r="H8" s="99"/>
      <c r="J8" s="50"/>
    </row>
    <row r="9" spans="1:10" x14ac:dyDescent="0.2">
      <c r="B9" s="100" t="s">
        <v>15</v>
      </c>
      <c r="C9" s="98">
        <f>'Reliquidación CD RGL'!O10</f>
        <v>18902001.426394239</v>
      </c>
      <c r="D9" s="97"/>
      <c r="E9" s="100" t="s">
        <v>15</v>
      </c>
      <c r="F9" s="98">
        <v>1799027.6087630885</v>
      </c>
      <c r="G9" s="98">
        <f>VLOOKUP(E9,$B$8:$C$42,2,0)+F9</f>
        <v>20701029.035157327</v>
      </c>
      <c r="H9" s="99"/>
      <c r="J9" s="50"/>
    </row>
    <row r="10" spans="1:10" x14ac:dyDescent="0.2">
      <c r="B10" s="100" t="s">
        <v>16</v>
      </c>
      <c r="C10" s="98">
        <f>'Reliquidación CD RGL'!O11</f>
        <v>-11115928.460579593</v>
      </c>
      <c r="D10" s="97"/>
      <c r="E10" s="100" t="s">
        <v>16</v>
      </c>
      <c r="F10" s="98">
        <v>0</v>
      </c>
      <c r="G10" s="98">
        <f>VLOOKUP(E10,$B$8:$C$42,2,0)+F10</f>
        <v>-11115928.460579593</v>
      </c>
      <c r="H10" s="99"/>
      <c r="J10" s="50"/>
    </row>
    <row r="11" spans="1:10" x14ac:dyDescent="0.2">
      <c r="B11" s="100" t="s">
        <v>17</v>
      </c>
      <c r="C11" s="98">
        <f>'Reliquidación CD RGL'!O12</f>
        <v>-2799378.689397587</v>
      </c>
      <c r="D11" s="97"/>
      <c r="E11" s="100" t="s">
        <v>17</v>
      </c>
      <c r="F11" s="98">
        <v>349860.77945165976</v>
      </c>
      <c r="G11" s="98">
        <f>VLOOKUP(E11,$B$8:$C$42,2,0)+F11</f>
        <v>-2449517.9099459271</v>
      </c>
      <c r="H11" s="99"/>
      <c r="I11" s="50"/>
      <c r="J11" s="50"/>
    </row>
    <row r="12" spans="1:10" x14ac:dyDescent="0.2">
      <c r="B12" s="100" t="s">
        <v>18</v>
      </c>
      <c r="C12" s="98">
        <f>'Reliquidación CD RGL'!O13</f>
        <v>-145521156.47444019</v>
      </c>
      <c r="D12" s="97"/>
      <c r="E12" s="100" t="s">
        <v>82</v>
      </c>
      <c r="F12" s="98">
        <v>13491036.905489266</v>
      </c>
      <c r="G12" s="98">
        <f>C12+C13+C14+C15+C16+C18+C19+C20+C37+C38+C39+F12</f>
        <v>317090606.05593294</v>
      </c>
      <c r="H12" s="99"/>
      <c r="I12" s="50"/>
      <c r="J12" s="50"/>
    </row>
    <row r="13" spans="1:10" x14ac:dyDescent="0.2">
      <c r="B13" s="100" t="s">
        <v>20</v>
      </c>
      <c r="C13" s="98">
        <f>'Reliquidación CD RGL'!O14</f>
        <v>16479739.738401661</v>
      </c>
      <c r="D13" s="97"/>
      <c r="E13" s="100" t="s">
        <v>83</v>
      </c>
      <c r="F13" s="98">
        <v>-50139366.677565813</v>
      </c>
      <c r="G13" s="98">
        <f>C17+F13</f>
        <v>-884637403.66550624</v>
      </c>
      <c r="H13" s="99"/>
      <c r="I13" s="50"/>
      <c r="J13" s="50"/>
    </row>
    <row r="14" spans="1:10" x14ac:dyDescent="0.2">
      <c r="B14" s="100" t="s">
        <v>21</v>
      </c>
      <c r="C14" s="98">
        <f>'Reliquidación CD RGL'!O15</f>
        <v>188750421.81781611</v>
      </c>
      <c r="D14" s="97"/>
      <c r="E14" s="100" t="s">
        <v>29</v>
      </c>
      <c r="F14" s="98">
        <v>4838322.8211342404</v>
      </c>
      <c r="G14" s="98">
        <f>VLOOKUP(E14,$B$8:$C$42,2,0)+F14</f>
        <v>9585423.5110591687</v>
      </c>
      <c r="H14" s="99"/>
      <c r="I14" s="50"/>
      <c r="J14" s="50"/>
    </row>
    <row r="15" spans="1:10" x14ac:dyDescent="0.2">
      <c r="B15" s="100" t="s">
        <v>22</v>
      </c>
      <c r="C15" s="98">
        <f>'Reliquidación CD RGL'!O16</f>
        <v>0</v>
      </c>
      <c r="D15" s="97"/>
      <c r="E15" s="100" t="s">
        <v>30</v>
      </c>
      <c r="F15" s="98">
        <v>1077499.2213756542</v>
      </c>
      <c r="G15" s="98">
        <f t="shared" ref="G15:G32" si="0">VLOOKUP(E15,$B$8:$C$42,2,0)+F15</f>
        <v>-18852505.718222167</v>
      </c>
      <c r="H15" s="99"/>
      <c r="I15" s="50"/>
      <c r="J15" s="50"/>
    </row>
    <row r="16" spans="1:10" x14ac:dyDescent="0.2">
      <c r="A16" s="50"/>
      <c r="B16" s="100" t="s">
        <v>23</v>
      </c>
      <c r="C16" s="98">
        <f>'Reliquidación CD RGL'!O17</f>
        <v>0</v>
      </c>
      <c r="D16" s="97"/>
      <c r="E16" s="100" t="s">
        <v>31</v>
      </c>
      <c r="F16" s="98">
        <v>-1097895.1143378578</v>
      </c>
      <c r="G16" s="98">
        <f t="shared" si="0"/>
        <v>-20302122.170343734</v>
      </c>
      <c r="H16" s="99"/>
      <c r="I16" s="50"/>
      <c r="J16" s="50"/>
    </row>
    <row r="17" spans="1:10" x14ac:dyDescent="0.2">
      <c r="B17" s="100" t="s">
        <v>24</v>
      </c>
      <c r="C17" s="98">
        <f>'Reliquidación CD RGL'!O18</f>
        <v>-834498036.98794043</v>
      </c>
      <c r="D17" s="97"/>
      <c r="E17" s="100" t="s">
        <v>32</v>
      </c>
      <c r="F17" s="98">
        <v>304976.31340460194</v>
      </c>
      <c r="G17" s="98">
        <f t="shared" si="0"/>
        <v>6324430.8511571232</v>
      </c>
      <c r="H17" s="99"/>
      <c r="I17" s="50"/>
      <c r="J17" s="50"/>
    </row>
    <row r="18" spans="1:10" x14ac:dyDescent="0.2">
      <c r="B18" s="100" t="s">
        <v>26</v>
      </c>
      <c r="C18" s="98">
        <f>'Reliquidación CD RGL'!O19</f>
        <v>46142841.813761324</v>
      </c>
      <c r="D18" s="97"/>
      <c r="E18" s="100" t="s">
        <v>33</v>
      </c>
      <c r="F18" s="98">
        <v>-215765.05304754479</v>
      </c>
      <c r="G18" s="98">
        <f t="shared" si="0"/>
        <v>-3867199.6163130626</v>
      </c>
      <c r="H18" s="99"/>
      <c r="I18" s="50"/>
      <c r="J18" s="50"/>
    </row>
    <row r="19" spans="1:10" x14ac:dyDescent="0.2">
      <c r="B19" s="100" t="s">
        <v>27</v>
      </c>
      <c r="C19" s="98">
        <f>'Reliquidación CD RGL'!O20</f>
        <v>-35001439.796675742</v>
      </c>
      <c r="D19" s="97"/>
      <c r="E19" s="100" t="s">
        <v>34</v>
      </c>
      <c r="F19" s="98">
        <v>51919.955186063795</v>
      </c>
      <c r="G19" s="98">
        <f t="shared" si="0"/>
        <v>1322667.3455708739</v>
      </c>
      <c r="H19" s="99"/>
      <c r="I19" s="50"/>
      <c r="J19" s="50"/>
    </row>
    <row r="20" spans="1:10" x14ac:dyDescent="0.2">
      <c r="B20" s="100" t="s">
        <v>28</v>
      </c>
      <c r="C20" s="98">
        <f>'Reliquidación CD RGL'!O21</f>
        <v>0</v>
      </c>
      <c r="D20" s="97"/>
      <c r="E20" s="100" t="s">
        <v>35</v>
      </c>
      <c r="F20" s="98">
        <v>5290706.6459662747</v>
      </c>
      <c r="G20" s="98">
        <f t="shared" si="0"/>
        <v>68310606.458899006</v>
      </c>
      <c r="H20" s="99"/>
      <c r="I20" s="50"/>
      <c r="J20" s="50"/>
    </row>
    <row r="21" spans="1:10" x14ac:dyDescent="0.2">
      <c r="B21" s="100" t="s">
        <v>29</v>
      </c>
      <c r="C21" s="98">
        <f>'Reliquidación CD RGL'!O22</f>
        <v>4747100.6899249284</v>
      </c>
      <c r="D21" s="97"/>
      <c r="E21" s="100" t="s">
        <v>36</v>
      </c>
      <c r="F21" s="98">
        <v>372149.58932992409</v>
      </c>
      <c r="G21" s="98">
        <f t="shared" si="0"/>
        <v>21544775.528443463</v>
      </c>
      <c r="H21" s="99"/>
      <c r="I21" s="50"/>
      <c r="J21" s="50"/>
    </row>
    <row r="22" spans="1:10" x14ac:dyDescent="0.2">
      <c r="B22" s="100" t="s">
        <v>30</v>
      </c>
      <c r="C22" s="98">
        <f>'Reliquidación CD RGL'!O23</f>
        <v>-19930004.939597823</v>
      </c>
      <c r="D22" s="97"/>
      <c r="E22" s="100" t="s">
        <v>37</v>
      </c>
      <c r="F22" s="98">
        <v>9818258.1953072902</v>
      </c>
      <c r="G22" s="98">
        <f t="shared" si="0"/>
        <v>218977474.62314507</v>
      </c>
      <c r="H22" s="99"/>
      <c r="I22" s="50"/>
      <c r="J22" s="50"/>
    </row>
    <row r="23" spans="1:10" x14ac:dyDescent="0.2">
      <c r="B23" s="100" t="s">
        <v>31</v>
      </c>
      <c r="C23" s="98">
        <f>'Reliquidación CD RGL'!O24</f>
        <v>-19204227.056005877</v>
      </c>
      <c r="D23" s="97"/>
      <c r="E23" s="100" t="s">
        <v>38</v>
      </c>
      <c r="F23" s="98">
        <v>-218259.22192971176</v>
      </c>
      <c r="G23" s="98">
        <f t="shared" si="0"/>
        <v>-3467121.6722903755</v>
      </c>
      <c r="H23" s="99"/>
      <c r="I23" s="50"/>
      <c r="J23" s="50"/>
    </row>
    <row r="24" spans="1:10" x14ac:dyDescent="0.2">
      <c r="B24" s="100" t="s">
        <v>32</v>
      </c>
      <c r="C24" s="98">
        <f>'Reliquidación CD RGL'!O25</f>
        <v>6019454.5377525212</v>
      </c>
      <c r="D24" s="97"/>
      <c r="E24" s="100" t="s">
        <v>39</v>
      </c>
      <c r="F24" s="98">
        <v>12107225.08912202</v>
      </c>
      <c r="G24" s="98">
        <f t="shared" si="0"/>
        <v>242304907.53371972</v>
      </c>
      <c r="H24" s="99"/>
      <c r="I24" s="50"/>
      <c r="J24" s="50"/>
    </row>
    <row r="25" spans="1:10" x14ac:dyDescent="0.2">
      <c r="B25" s="100" t="s">
        <v>33</v>
      </c>
      <c r="C25" s="98">
        <f>'Reliquidación CD RGL'!O26</f>
        <v>-3651434.5632655178</v>
      </c>
      <c r="D25" s="97"/>
      <c r="E25" s="100" t="s">
        <v>40</v>
      </c>
      <c r="F25" s="98">
        <v>-259789.27332271449</v>
      </c>
      <c r="G25" s="98">
        <f t="shared" si="0"/>
        <v>-5139484.0707493499</v>
      </c>
      <c r="H25" s="99"/>
      <c r="I25" s="50"/>
      <c r="J25" s="50"/>
    </row>
    <row r="26" spans="1:10" x14ac:dyDescent="0.2">
      <c r="B26" s="100" t="s">
        <v>34</v>
      </c>
      <c r="C26" s="98">
        <f>'Reliquidación CD RGL'!O27</f>
        <v>1270747.39038481</v>
      </c>
      <c r="D26" s="97"/>
      <c r="E26" s="100" t="s">
        <v>41</v>
      </c>
      <c r="F26" s="98">
        <v>-829930.04393301532</v>
      </c>
      <c r="G26" s="98">
        <f t="shared" si="0"/>
        <v>-13556022.873918368</v>
      </c>
      <c r="H26" s="99"/>
      <c r="I26" s="50"/>
      <c r="J26" s="50"/>
    </row>
    <row r="27" spans="1:10" x14ac:dyDescent="0.2">
      <c r="B27" s="100" t="s">
        <v>35</v>
      </c>
      <c r="C27" s="98">
        <f>'Reliquidación CD RGL'!O28</f>
        <v>63019899.812932737</v>
      </c>
      <c r="D27" s="97"/>
      <c r="E27" s="100" t="s">
        <v>42</v>
      </c>
      <c r="F27" s="98">
        <v>3011709.8879307178</v>
      </c>
      <c r="G27" s="98">
        <f t="shared" si="0"/>
        <v>50026879.568500228</v>
      </c>
      <c r="H27" s="99"/>
      <c r="I27" s="50"/>
      <c r="J27" s="50"/>
    </row>
    <row r="28" spans="1:10" x14ac:dyDescent="0.2">
      <c r="B28" s="100" t="s">
        <v>36</v>
      </c>
      <c r="C28" s="98">
        <f>'Reliquidación CD RGL'!O29</f>
        <v>21172625.939113539</v>
      </c>
      <c r="D28" s="97"/>
      <c r="E28" s="100" t="s">
        <v>43</v>
      </c>
      <c r="F28" s="98">
        <v>-470697.37768471707</v>
      </c>
      <c r="G28" s="98">
        <f t="shared" si="0"/>
        <v>-8478290.21434246</v>
      </c>
      <c r="H28" s="99"/>
      <c r="I28" s="50"/>
      <c r="J28" s="50"/>
    </row>
    <row r="29" spans="1:10" x14ac:dyDescent="0.2">
      <c r="A29" s="50"/>
      <c r="B29" s="100" t="s">
        <v>37</v>
      </c>
      <c r="C29" s="98">
        <f>'Reliquidación CD RGL'!O30</f>
        <v>209159216.42783779</v>
      </c>
      <c r="D29" s="97"/>
      <c r="E29" s="100" t="s">
        <v>45</v>
      </c>
      <c r="F29" s="98">
        <v>561652.58844404214</v>
      </c>
      <c r="G29" s="98">
        <f t="shared" si="0"/>
        <v>12977028.979813114</v>
      </c>
      <c r="H29" s="99"/>
      <c r="I29" s="50"/>
      <c r="J29" s="50"/>
    </row>
    <row r="30" spans="1:10" x14ac:dyDescent="0.2">
      <c r="B30" s="100" t="s">
        <v>38</v>
      </c>
      <c r="C30" s="98">
        <f>'Reliquidación CD RGL'!O31</f>
        <v>-3248862.4503606637</v>
      </c>
      <c r="D30" s="97"/>
      <c r="E30" s="100" t="s">
        <v>49</v>
      </c>
      <c r="F30" s="98">
        <v>0</v>
      </c>
      <c r="G30" s="98">
        <f t="shared" si="0"/>
        <v>0</v>
      </c>
      <c r="H30" s="99"/>
      <c r="I30" s="50"/>
      <c r="J30" s="50"/>
    </row>
    <row r="31" spans="1:10" x14ac:dyDescent="0.2">
      <c r="A31" s="50"/>
      <c r="B31" s="100" t="s">
        <v>39</v>
      </c>
      <c r="C31" s="98">
        <f>'Reliquidación CD RGL'!O32</f>
        <v>230197682.44459769</v>
      </c>
      <c r="D31" s="97"/>
      <c r="E31" s="42" t="s">
        <v>50</v>
      </c>
      <c r="F31" s="98">
        <v>0</v>
      </c>
      <c r="G31" s="98">
        <f t="shared" si="0"/>
        <v>0</v>
      </c>
      <c r="H31" s="99"/>
      <c r="I31" s="50"/>
      <c r="J31" s="50"/>
    </row>
    <row r="32" spans="1:10" x14ac:dyDescent="0.2">
      <c r="A32" s="50"/>
      <c r="B32" s="100" t="s">
        <v>40</v>
      </c>
      <c r="C32" s="98">
        <f>'Reliquidación CD RGL'!O33</f>
        <v>-4879694.7974266354</v>
      </c>
      <c r="D32" s="97"/>
      <c r="E32" s="101" t="s">
        <v>51</v>
      </c>
      <c r="F32" s="98">
        <v>109434.4842093528</v>
      </c>
      <c r="G32" s="98">
        <f t="shared" si="0"/>
        <v>1993162.6608171789</v>
      </c>
      <c r="H32" s="97"/>
      <c r="I32" s="50"/>
      <c r="J32" s="50"/>
    </row>
    <row r="33" spans="1:21" x14ac:dyDescent="0.2">
      <c r="A33" s="50"/>
      <c r="B33" s="100" t="s">
        <v>41</v>
      </c>
      <c r="C33" s="98">
        <f>'Reliquidación CD RGL'!O34</f>
        <v>-12726092.829985352</v>
      </c>
      <c r="D33" s="97"/>
      <c r="E33" s="102" t="s">
        <v>66</v>
      </c>
      <c r="F33" s="103">
        <f>SUM(F7:F32)</f>
        <v>-9.036739356815815E-9</v>
      </c>
      <c r="G33" s="103">
        <f>SUM(G8:G32)</f>
        <v>-1.2107193470001221E-8</v>
      </c>
      <c r="H33" s="104"/>
      <c r="I33" s="50"/>
      <c r="J33" s="50"/>
    </row>
    <row r="34" spans="1:21" x14ac:dyDescent="0.2">
      <c r="B34" s="100" t="s">
        <v>42</v>
      </c>
      <c r="C34" s="98">
        <f>'Reliquidación CD RGL'!O35</f>
        <v>47015169.680569507</v>
      </c>
      <c r="D34" s="97"/>
      <c r="E34" s="105"/>
      <c r="F34" s="105"/>
      <c r="G34" s="106"/>
      <c r="H34" s="104"/>
      <c r="I34" s="50"/>
      <c r="J34" s="50"/>
    </row>
    <row r="35" spans="1:21" x14ac:dyDescent="0.2">
      <c r="A35" s="50"/>
      <c r="B35" s="100" t="s">
        <v>43</v>
      </c>
      <c r="C35" s="98">
        <f>'Reliquidación CD RGL'!O36</f>
        <v>-8007592.836657743</v>
      </c>
      <c r="D35" s="97"/>
      <c r="E35" s="105"/>
      <c r="F35" s="67" t="s">
        <v>96</v>
      </c>
      <c r="G35" s="106"/>
      <c r="H35" s="104"/>
      <c r="I35" s="50"/>
      <c r="J35" s="50"/>
    </row>
    <row r="36" spans="1:21" x14ac:dyDescent="0.2">
      <c r="A36" s="50"/>
      <c r="B36" s="100" t="s">
        <v>45</v>
      </c>
      <c r="C36" s="98">
        <f>'Reliquidación CD RGL'!O37</f>
        <v>12415376.391369071</v>
      </c>
      <c r="D36" s="97"/>
      <c r="E36" s="105"/>
      <c r="F36" s="105"/>
      <c r="G36" s="106"/>
      <c r="H36" s="104"/>
      <c r="I36" s="50"/>
      <c r="J36" s="50"/>
    </row>
    <row r="37" spans="1:21" x14ac:dyDescent="0.2">
      <c r="B37" s="100" t="s">
        <v>46</v>
      </c>
      <c r="C37" s="98">
        <f>'Reliquidación CD RGL'!O38</f>
        <v>-29697653.256310806</v>
      </c>
      <c r="D37" s="97"/>
      <c r="E37" s="105"/>
      <c r="F37" s="105"/>
      <c r="G37" s="106"/>
      <c r="H37" s="104"/>
      <c r="I37" s="50"/>
      <c r="J37" s="50"/>
    </row>
    <row r="38" spans="1:21" x14ac:dyDescent="0.2">
      <c r="B38" s="100" t="s">
        <v>47</v>
      </c>
      <c r="C38" s="98">
        <f>'Reliquidación CD RGL'!O39</f>
        <v>94695137.867541403</v>
      </c>
      <c r="D38" s="97"/>
      <c r="E38" s="105"/>
      <c r="F38" s="105"/>
      <c r="G38" s="106"/>
      <c r="H38" s="104"/>
      <c r="I38" s="50"/>
      <c r="J38" s="50"/>
    </row>
    <row r="39" spans="1:21" x14ac:dyDescent="0.2">
      <c r="B39" s="100" t="s">
        <v>48</v>
      </c>
      <c r="C39" s="98">
        <f>'Reliquidación CD RGL'!O40</f>
        <v>167751677.44034991</v>
      </c>
      <c r="D39" s="97"/>
      <c r="E39" s="105"/>
      <c r="F39" s="105"/>
      <c r="G39" s="106"/>
      <c r="H39" s="104"/>
      <c r="I39" s="50"/>
      <c r="J39" s="50"/>
    </row>
    <row r="40" spans="1:21" x14ac:dyDescent="0.2">
      <c r="B40" s="100" t="s">
        <v>49</v>
      </c>
      <c r="C40" s="98">
        <f>'Reliquidación CD RGL'!O41</f>
        <v>0</v>
      </c>
      <c r="D40" s="97"/>
      <c r="E40" s="105"/>
      <c r="F40" s="105"/>
      <c r="G40" s="106"/>
      <c r="H40" s="104"/>
      <c r="I40" s="50"/>
      <c r="J40" s="50"/>
      <c r="K40" s="50"/>
      <c r="L40" s="50"/>
      <c r="M40" s="50"/>
    </row>
    <row r="41" spans="1:21" x14ac:dyDescent="0.2">
      <c r="B41" s="42" t="s">
        <v>50</v>
      </c>
      <c r="C41" s="98">
        <f>'Reliquidación CD RGL'!O42</f>
        <v>0</v>
      </c>
      <c r="D41" s="97"/>
      <c r="E41" s="105"/>
      <c r="F41" s="105"/>
      <c r="G41" s="106"/>
      <c r="H41" s="104"/>
      <c r="I41" s="50"/>
      <c r="J41" s="50"/>
      <c r="K41" s="50"/>
      <c r="L41" s="50"/>
      <c r="M41" s="50"/>
    </row>
    <row r="42" spans="1:21" x14ac:dyDescent="0.2">
      <c r="B42" s="101" t="s">
        <v>51</v>
      </c>
      <c r="C42" s="107">
        <f>'Reliquidación CD RGL'!O43</f>
        <v>1883728.176607826</v>
      </c>
      <c r="D42" s="97"/>
      <c r="E42" s="105"/>
      <c r="F42" s="105"/>
      <c r="G42" s="106"/>
      <c r="H42" s="104"/>
      <c r="I42" s="50"/>
      <c r="J42" s="50"/>
    </row>
    <row r="43" spans="1:21" x14ac:dyDescent="0.2">
      <c r="B43" s="102" t="s">
        <v>66</v>
      </c>
      <c r="C43" s="103">
        <f>SUM(C8:C42)</f>
        <v>-2.1187588572502136E-8</v>
      </c>
      <c r="D43" s="108"/>
      <c r="E43" s="50"/>
      <c r="F43" s="50"/>
      <c r="H43" s="104"/>
      <c r="I43" s="50"/>
      <c r="J43" s="50"/>
    </row>
    <row r="44" spans="1:21" x14ac:dyDescent="0.2">
      <c r="B44" s="105"/>
      <c r="C44" s="109"/>
      <c r="E44" s="50"/>
      <c r="F44" s="50"/>
      <c r="H44" s="50"/>
      <c r="I44" s="50"/>
    </row>
    <row r="45" spans="1:21" x14ac:dyDescent="0.2">
      <c r="B45" s="105"/>
      <c r="C45" s="109"/>
      <c r="D45" s="109"/>
      <c r="H45" s="50"/>
    </row>
    <row r="46" spans="1:21" x14ac:dyDescent="0.2">
      <c r="B46" s="50"/>
      <c r="C46" s="50"/>
      <c r="D46" s="50"/>
      <c r="E46" s="106"/>
      <c r="F46" s="106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21" x14ac:dyDescent="0.2">
      <c r="B47" s="110" t="s">
        <v>85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R47" s="50"/>
      <c r="S47" s="50"/>
      <c r="T47" s="50"/>
      <c r="U47" s="50"/>
    </row>
    <row r="48" spans="1:21" x14ac:dyDescent="0.2">
      <c r="B48" s="50"/>
      <c r="C48" s="50"/>
      <c r="D48" s="50"/>
      <c r="E48" s="106"/>
      <c r="F48" s="106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2">
      <c r="B49" s="111" t="s">
        <v>86</v>
      </c>
      <c r="C49" s="112" t="s">
        <v>87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4"/>
      <c r="P49" s="115" t="s">
        <v>52</v>
      </c>
    </row>
    <row r="50" spans="2:17" x14ac:dyDescent="0.2">
      <c r="B50" s="116"/>
      <c r="C50" s="48" t="s">
        <v>14</v>
      </c>
      <c r="D50" s="49" t="s">
        <v>15</v>
      </c>
      <c r="E50" s="48" t="s">
        <v>82</v>
      </c>
      <c r="F50" s="49" t="s">
        <v>29</v>
      </c>
      <c r="G50" s="48" t="s">
        <v>32</v>
      </c>
      <c r="H50" s="48" t="s">
        <v>35</v>
      </c>
      <c r="I50" s="48" t="s">
        <v>36</v>
      </c>
      <c r="J50" s="49" t="s">
        <v>37</v>
      </c>
      <c r="K50" s="78" t="s">
        <v>34</v>
      </c>
      <c r="L50" s="49" t="s">
        <v>39</v>
      </c>
      <c r="M50" s="79" t="s">
        <v>42</v>
      </c>
      <c r="N50" s="49" t="s">
        <v>45</v>
      </c>
      <c r="O50" s="49" t="s">
        <v>51</v>
      </c>
      <c r="P50" s="117"/>
    </row>
    <row r="51" spans="2:17" ht="12" customHeight="1" x14ac:dyDescent="0.2">
      <c r="B51" s="79" t="s">
        <v>16</v>
      </c>
      <c r="C51" s="118" cm="1">
        <f t="array" ref="C51">(VLOOKUP($B51,$E$8:$G$32,3,0)*(-(VLOOKUP(C$50,$E$8:$G$32,3,0))))/SUMPRODUCT(($G$8:$G$32&gt;0)*($G$8:$G$32))</f>
        <v>8081.9425944696532</v>
      </c>
      <c r="D51" s="118" cm="1">
        <f t="array" ref="D51">(VLOOKUP($B51,$E$8:$G$32,3,0)*(-(VLOOKUP(D$50,$E$8:$G$32,3,0))))/SUMPRODUCT(($G$8:$G$32&gt;0)*($G$8:$G$32))</f>
        <v>236772.6141085258</v>
      </c>
      <c r="E51" s="118" cm="1">
        <f t="array" ref="E51">(VLOOKUP($B51,$E$8:$G$32,3,0)*(-(VLOOKUP(E$50,$E$8:$G$32,3,0))))/SUMPRODUCT(($G$8:$G$32&gt;0)*($G$8:$G$32))</f>
        <v>3626794.1838838826</v>
      </c>
      <c r="F51" s="118" cm="1">
        <f t="array" ref="F51">(VLOOKUP($B51,$E$8:$G$32,3,0)*(-(VLOOKUP(F$50,$E$8:$G$32,3,0))))/SUMPRODUCT(($G$8:$G$32&gt;0)*($G$8:$G$32))</f>
        <v>109635.408858</v>
      </c>
      <c r="G51" s="118" cm="1">
        <f t="array" ref="G51">(VLOOKUP($B51,$E$8:$G$32,3,0)*(-(VLOOKUP(G$50,$E$8:$G$32,3,0))))/SUMPRODUCT(($G$8:$G$32&gt;0)*($G$8:$G$32))</f>
        <v>72337.081544782268</v>
      </c>
      <c r="H51" s="118" cm="1">
        <f t="array" ref="H51">(VLOOKUP($B51,$E$8:$G$32,3,0)*(-(VLOOKUP(H$50,$E$8:$G$32,3,0))))/SUMPRODUCT(($G$8:$G$32&gt;0)*($G$8:$G$32))</f>
        <v>781317.72266698536</v>
      </c>
      <c r="I51" s="118" cm="1">
        <f t="array" ref="I51">(VLOOKUP($B51,$E$8:$G$32,3,0)*(-(VLOOKUP(I$50,$E$8:$G$32,3,0))))/SUMPRODUCT(($G$8:$G$32&gt;0)*($G$8:$G$32))</f>
        <v>246423.15189198442</v>
      </c>
      <c r="J51" s="118" cm="1">
        <f t="array" ref="J51">(VLOOKUP($B51,$E$8:$G$32,3,0)*(-(VLOOKUP(J$50,$E$8:$G$32,3,0))))/SUMPRODUCT(($G$8:$G$32&gt;0)*($G$8:$G$32))</f>
        <v>2504603.4672648525</v>
      </c>
      <c r="K51" s="118" cm="1">
        <f t="array" ref="K51">(VLOOKUP($B51,$E$8:$G$32,3,0)*(-(VLOOKUP(K$50,$E$8:$G$32,3,0))))/SUMPRODUCT(($G$8:$G$32&gt;0)*($G$8:$G$32))</f>
        <v>15128.301326225379</v>
      </c>
      <c r="L51" s="118" cm="1">
        <f t="array" ref="L51">(VLOOKUP($B51,$E$8:$G$32,3,0)*(-(VLOOKUP(L$50,$E$8:$G$32,3,0))))/SUMPRODUCT(($G$8:$G$32&gt;0)*($G$8:$G$32))</f>
        <v>2771416.1586193545</v>
      </c>
      <c r="M51" s="118" cm="1">
        <f t="array" ref="M51">(VLOOKUP($B51,$E$8:$G$32,3,0)*(-(VLOOKUP(M$50,$E$8:$G$32,3,0))))/SUMPRODUCT(($G$8:$G$32&gt;0)*($G$8:$G$32))</f>
        <v>572193.53835064929</v>
      </c>
      <c r="N51" s="118" cm="1">
        <f t="array" ref="N51">(VLOOKUP($B51,$E$8:$G$32,3,0)*(-(VLOOKUP(N$50,$E$8:$G$32,3,0))))/SUMPRODUCT(($G$8:$G$32&gt;0)*($G$8:$G$32))</f>
        <v>148427.64916150435</v>
      </c>
      <c r="O51" s="118" cm="1">
        <f t="array" ref="O51">(VLOOKUP($B51,$E$8:$G$32,3,0)*(-(VLOOKUP(O$50,$E$8:$G$32,3,0))))/SUMPRODUCT(($G$8:$G$32&gt;0)*($G$8:$G$32))</f>
        <v>22797.240308377823</v>
      </c>
      <c r="P51" s="119">
        <f>SUM(C51:O51)</f>
        <v>11115928.460579595</v>
      </c>
    </row>
    <row r="52" spans="2:17" x14ac:dyDescent="0.2">
      <c r="B52" s="78" t="s">
        <v>17</v>
      </c>
      <c r="C52" s="118" cm="1">
        <f t="array" ref="C52">(VLOOKUP($B52,$E$8:$G$32,3,0)*(-(VLOOKUP(C$50,$E$8:$G$32,3,0))))/SUMPRODUCT(($G$8:$G$32&gt;0)*($G$8:$G$32))</f>
        <v>1780.9455325764163</v>
      </c>
      <c r="D52" s="118" cm="1">
        <f t="array" ref="D52">(VLOOKUP($B52,$E$8:$G$32,3,0)*(-(VLOOKUP(D$50,$E$8:$G$32,3,0))))/SUMPRODUCT(($G$8:$G$32&gt;0)*($G$8:$G$32))</f>
        <v>52175.467024668942</v>
      </c>
      <c r="E52" s="118" cm="1">
        <f t="array" ref="E52">(VLOOKUP($B52,$E$8:$G$32,3,0)*(-(VLOOKUP(E$50,$E$8:$G$32,3,0))))/SUMPRODUCT(($G$8:$G$32&gt;0)*($G$8:$G$32))</f>
        <v>799204.25366322289</v>
      </c>
      <c r="F52" s="118" cm="1">
        <f t="array" ref="F52">(VLOOKUP($B52,$E$8:$G$32,3,0)*(-(VLOOKUP(F$50,$E$8:$G$32,3,0))))/SUMPRODUCT(($G$8:$G$32&gt;0)*($G$8:$G$32))</f>
        <v>24159.376206340999</v>
      </c>
      <c r="G52" s="118" cm="1">
        <f t="array" ref="G52">(VLOOKUP($B52,$E$8:$G$32,3,0)*(-(VLOOKUP(G$50,$E$8:$G$32,3,0))))/SUMPRODUCT(($G$8:$G$32&gt;0)*($G$8:$G$32))</f>
        <v>15940.276822177773</v>
      </c>
      <c r="H52" s="118" cm="1">
        <f t="array" ref="H52">(VLOOKUP($B52,$E$8:$G$32,3,0)*(-(VLOOKUP(H$50,$E$8:$G$32,3,0))))/SUMPRODUCT(($G$8:$G$32&gt;0)*($G$8:$G$32))</f>
        <v>172172.01080575824</v>
      </c>
      <c r="I52" s="118" cm="1">
        <f t="array" ref="I52">(VLOOKUP($B52,$E$8:$G$32,3,0)*(-(VLOOKUP(I$50,$E$8:$G$32,3,0))))/SUMPRODUCT(($G$8:$G$32&gt;0)*($G$8:$G$32))</f>
        <v>54302.06987435653</v>
      </c>
      <c r="J52" s="118" cm="1">
        <f t="array" ref="J52">(VLOOKUP($B52,$E$8:$G$32,3,0)*(-(VLOOKUP(J$50,$E$8:$G$32,3,0))))/SUMPRODUCT(($G$8:$G$32&gt;0)*($G$8:$G$32))</f>
        <v>551917.10455268947</v>
      </c>
      <c r="K52" s="118" cm="1">
        <f t="array" ref="K52">(VLOOKUP($B52,$E$8:$G$32,3,0)*(-(VLOOKUP(K$50,$E$8:$G$32,3,0))))/SUMPRODUCT(($G$8:$G$32&gt;0)*($G$8:$G$32))</f>
        <v>3333.6886951965507</v>
      </c>
      <c r="L52" s="118" cm="1">
        <f t="array" ref="L52">(VLOOKUP($B52,$E$8:$G$32,3,0)*(-(VLOOKUP(L$50,$E$8:$G$32,3,0))))/SUMPRODUCT(($G$8:$G$32&gt;0)*($G$8:$G$32))</f>
        <v>610712.23519710265</v>
      </c>
      <c r="M52" s="118" cm="1">
        <f t="array" ref="M52">(VLOOKUP($B52,$E$8:$G$32,3,0)*(-(VLOOKUP(M$50,$E$8:$G$32,3,0))))/SUMPRODUCT(($G$8:$G$32&gt;0)*($G$8:$G$32))</f>
        <v>126089.18140448042</v>
      </c>
      <c r="N52" s="118" cm="1">
        <f t="array" ref="N52">(VLOOKUP($B52,$E$8:$G$32,3,0)*(-(VLOOKUP(N$50,$E$8:$G$32,3,0))))/SUMPRODUCT(($G$8:$G$32&gt;0)*($G$8:$G$32))</f>
        <v>32707.675858262795</v>
      </c>
      <c r="O52" s="118" cm="1">
        <f t="array" ref="O52">(VLOOKUP($B52,$E$8:$G$32,3,0)*(-(VLOOKUP(O$50,$E$8:$G$32,3,0))))/SUMPRODUCT(($G$8:$G$32&gt;0)*($G$8:$G$32))</f>
        <v>5023.6243090935695</v>
      </c>
      <c r="P52" s="119">
        <f>SUM(C52:O52)</f>
        <v>2449517.9099459271</v>
      </c>
    </row>
    <row r="53" spans="2:17" x14ac:dyDescent="0.2">
      <c r="B53" s="78" t="s">
        <v>83</v>
      </c>
      <c r="C53" s="118" cm="1">
        <f t="array" ref="C53">(VLOOKUP($B53,$E$8:$G$32,3,0)*(-(VLOOKUP(C$50,$E$8:$G$32,3,0))))/SUMPRODUCT(($G$8:$G$32&gt;0)*($G$8:$G$32))</f>
        <v>643184.12435811176</v>
      </c>
      <c r="D53" s="118" cm="1">
        <f t="array" ref="D53">(VLOOKUP($B53,$E$8:$G$32,3,0)*(-(VLOOKUP(D$50,$E$8:$G$32,3,0))))/SUMPRODUCT(($G$8:$G$32&gt;0)*($G$8:$G$32))</f>
        <v>18843042.337566443</v>
      </c>
      <c r="E53" s="118" cm="1">
        <f t="array" ref="E53">(VLOOKUP($B53,$E$8:$G$32,3,0)*(-(VLOOKUP(E$50,$E$8:$G$32,3,0))))/SUMPRODUCT(($G$8:$G$32&gt;0)*($G$8:$G$32))</f>
        <v>288630662.01245672</v>
      </c>
      <c r="F53" s="118" cm="1">
        <f t="array" ref="F53">(VLOOKUP($B53,$E$8:$G$32,3,0)*(-(VLOOKUP(F$50,$E$8:$G$32,3,0))))/SUMPRODUCT(($G$8:$G$32&gt;0)*($G$8:$G$32))</f>
        <v>8725099.642903816</v>
      </c>
      <c r="G53" s="118" cm="1">
        <f t="array" ref="G53">(VLOOKUP($B53,$E$8:$G$32,3,0)*(-(VLOOKUP(G$50,$E$8:$G$32,3,0))))/SUMPRODUCT(($G$8:$G$32&gt;0)*($G$8:$G$32))</f>
        <v>5756791.997488223</v>
      </c>
      <c r="H53" s="118" cm="1">
        <f t="array" ref="H53">(VLOOKUP($B53,$E$8:$G$32,3,0)*(-(VLOOKUP(H$50,$E$8:$G$32,3,0))))/SUMPRODUCT(($G$8:$G$32&gt;0)*($G$8:$G$32))</f>
        <v>62179500.710994065</v>
      </c>
      <c r="I53" s="118" cm="1">
        <f t="array" ref="I53">(VLOOKUP($B53,$E$8:$G$32,3,0)*(-(VLOOKUP(I$50,$E$8:$G$32,3,0))))/SUMPRODUCT(($G$8:$G$32&gt;0)*($G$8:$G$32))</f>
        <v>19611059.756804995</v>
      </c>
      <c r="J53" s="118" cm="1">
        <f t="array" ref="J53">(VLOOKUP($B53,$E$8:$G$32,3,0)*(-(VLOOKUP(J$50,$E$8:$G$32,3,0))))/SUMPRODUCT(($G$8:$G$32&gt;0)*($G$8:$G$32))</f>
        <v>199323512.77270433</v>
      </c>
      <c r="K53" s="118" cm="1">
        <f t="array" ref="K53">(VLOOKUP($B53,$E$8:$G$32,3,0)*(-(VLOOKUP(K$50,$E$8:$G$32,3,0))))/SUMPRODUCT(($G$8:$G$32&gt;0)*($G$8:$G$32))</f>
        <v>1203953.5208023144</v>
      </c>
      <c r="L53" s="118" cm="1">
        <f t="array" ref="L53">(VLOOKUP($B53,$E$8:$G$32,3,0)*(-(VLOOKUP(L$50,$E$8:$G$32,3,0))))/SUMPRODUCT(($G$8:$G$32&gt;0)*($G$8:$G$32))</f>
        <v>220557230.44027427</v>
      </c>
      <c r="M53" s="118" cm="1">
        <f t="array" ref="M53">(VLOOKUP($B53,$E$8:$G$32,3,0)*(-(VLOOKUP(M$50,$E$8:$G$32,3,0))))/SUMPRODUCT(($G$8:$G$32&gt;0)*($G$8:$G$32))</f>
        <v>45536799.553521484</v>
      </c>
      <c r="N53" s="118" cm="1">
        <f t="array" ref="N53">(VLOOKUP($B53,$E$8:$G$32,3,0)*(-(VLOOKUP(N$50,$E$8:$G$32,3,0))))/SUMPRODUCT(($G$8:$G$32&gt;0)*($G$8:$G$32))</f>
        <v>11812297.160066603</v>
      </c>
      <c r="O53" s="118" cm="1">
        <f t="array" ref="O53">(VLOOKUP($B53,$E$8:$G$32,3,0)*(-(VLOOKUP(O$50,$E$8:$G$32,3,0))))/SUMPRODUCT(($G$8:$G$32&gt;0)*($G$8:$G$32))</f>
        <v>1814269.6355649673</v>
      </c>
      <c r="P53" s="119">
        <f>SUM(C53:O53)</f>
        <v>884637403.66550624</v>
      </c>
    </row>
    <row r="54" spans="2:17" x14ac:dyDescent="0.2">
      <c r="B54" s="78" t="s">
        <v>30</v>
      </c>
      <c r="C54" s="118" cm="1">
        <f t="array" ref="C54">(VLOOKUP($B54,$E$8:$G$32,3,0)*(-(VLOOKUP(C$50,$E$8:$G$32,3,0))))/SUMPRODUCT(($G$8:$G$32&gt;0)*($G$8:$G$32))</f>
        <v>13706.895426406696</v>
      </c>
      <c r="D54" s="118" cm="1">
        <f t="array" ref="D54">(VLOOKUP($B54,$E$8:$G$32,3,0)*(-(VLOOKUP(D$50,$E$8:$G$32,3,0))))/SUMPRODUCT(($G$8:$G$32&gt;0)*($G$8:$G$32))</f>
        <v>401564.03284073039</v>
      </c>
      <c r="E54" s="118" cm="1">
        <f t="array" ref="E54">(VLOOKUP($B54,$E$8:$G$32,3,0)*(-(VLOOKUP(E$50,$E$8:$G$32,3,0))))/SUMPRODUCT(($G$8:$G$32&gt;0)*($G$8:$G$32))</f>
        <v>6151007.3884481182</v>
      </c>
      <c r="F54" s="118" cm="1">
        <f t="array" ref="F54">(VLOOKUP($B54,$E$8:$G$32,3,0)*(-(VLOOKUP(F$50,$E$8:$G$32,3,0))))/SUMPRODUCT(($G$8:$G$32&gt;0)*($G$8:$G$32))</f>
        <v>185940.57884997403</v>
      </c>
      <c r="G54" s="118" cm="1">
        <f t="array" ref="G54">(VLOOKUP($B54,$E$8:$G$32,3,0)*(-(VLOOKUP(G$50,$E$8:$G$32,3,0))))/SUMPRODUCT(($G$8:$G$32&gt;0)*($G$8:$G$32))</f>
        <v>122682.98130009777</v>
      </c>
      <c r="H54" s="118" cm="1">
        <f t="array" ref="H54">(VLOOKUP($B54,$E$8:$G$32,3,0)*(-(VLOOKUP(H$50,$E$8:$G$32,3,0))))/SUMPRODUCT(($G$8:$G$32&gt;0)*($G$8:$G$32))</f>
        <v>1325107.199687721</v>
      </c>
      <c r="I54" s="118" cm="1">
        <f t="array" ref="I54">(VLOOKUP($B54,$E$8:$G$32,3,0)*(-(VLOOKUP(I$50,$E$8:$G$32,3,0))))/SUMPRODUCT(($G$8:$G$32&gt;0)*($G$8:$G$32))</f>
        <v>417931.25033333793</v>
      </c>
      <c r="J54" s="118" cm="1">
        <f t="array" ref="J54">(VLOOKUP($B54,$E$8:$G$32,3,0)*(-(VLOOKUP(J$50,$E$8:$G$32,3,0))))/SUMPRODUCT(($G$8:$G$32&gt;0)*($G$8:$G$32))</f>
        <v>4247782.9320275886</v>
      </c>
      <c r="K54" s="118" cm="1">
        <f t="array" ref="K54">(VLOOKUP($B54,$E$8:$G$32,3,0)*(-(VLOOKUP(K$50,$E$8:$G$32,3,0))))/SUMPRODUCT(($G$8:$G$32&gt;0)*($G$8:$G$32))</f>
        <v>25657.450771753265</v>
      </c>
      <c r="L54" s="118" cm="1">
        <f t="array" ref="L54">(VLOOKUP($B54,$E$8:$G$32,3,0)*(-(VLOOKUP(L$50,$E$8:$G$32,3,0))))/SUMPRODUCT(($G$8:$G$32&gt;0)*($G$8:$G$32))</f>
        <v>4700294.6414446821</v>
      </c>
      <c r="M54" s="118" cm="1">
        <f t="array" ref="M54">(VLOOKUP($B54,$E$8:$G$32,3,0)*(-(VLOOKUP(M$50,$E$8:$G$32,3,0))))/SUMPRODUCT(($G$8:$G$32&gt;0)*($G$8:$G$32))</f>
        <v>970434.63278306602</v>
      </c>
      <c r="N54" s="118" cm="1">
        <f t="array" ref="N54">(VLOOKUP($B54,$E$8:$G$32,3,0)*(-(VLOOKUP(N$50,$E$8:$G$32,3,0))))/SUMPRODUCT(($G$8:$G$32&gt;0)*($G$8:$G$32))</f>
        <v>251731.83818903708</v>
      </c>
      <c r="O54" s="118" cm="1">
        <f t="array" ref="O54">(VLOOKUP($B54,$E$8:$G$32,3,0)*(-(VLOOKUP(O$50,$E$8:$G$32,3,0))))/SUMPRODUCT(($G$8:$G$32&gt;0)*($G$8:$G$32))</f>
        <v>38663.89611965607</v>
      </c>
      <c r="P54" s="119">
        <f>SUM(C54:O54)</f>
        <v>18852505.718222171</v>
      </c>
    </row>
    <row r="55" spans="2:17" x14ac:dyDescent="0.2">
      <c r="B55" s="78" t="s">
        <v>31</v>
      </c>
      <c r="C55" s="118" cm="1">
        <f t="array" ref="C55">(VLOOKUP($B55,$E$8:$G$32,3,0)*(-(VLOOKUP(C$50,$E$8:$G$32,3,0))))/SUMPRODUCT(($G$8:$G$32&gt;0)*($G$8:$G$32))</f>
        <v>14760.852996536145</v>
      </c>
      <c r="D55" s="118" cm="1">
        <f t="array" ref="D55">(VLOOKUP($B55,$E$8:$G$32,3,0)*(-(VLOOKUP(D$50,$E$8:$G$32,3,0))))/SUMPRODUCT(($G$8:$G$32&gt;0)*($G$8:$G$32))</f>
        <v>432441.29856268462</v>
      </c>
      <c r="E55" s="118" cm="1">
        <f t="array" ref="E55">(VLOOKUP($B55,$E$8:$G$32,3,0)*(-(VLOOKUP(E$50,$E$8:$G$32,3,0))))/SUMPRODUCT(($G$8:$G$32&gt;0)*($G$8:$G$32))</f>
        <v>6623973.7750222506</v>
      </c>
      <c r="F55" s="118" cm="1">
        <f t="array" ref="F55">(VLOOKUP($B55,$E$8:$G$32,3,0)*(-(VLOOKUP(F$50,$E$8:$G$32,3,0))))/SUMPRODUCT(($G$8:$G$32&gt;0)*($G$8:$G$32))</f>
        <v>200238.01634961631</v>
      </c>
      <c r="G55" s="118" cm="1">
        <f t="array" ref="G55">(VLOOKUP($B55,$E$8:$G$32,3,0)*(-(VLOOKUP(G$50,$E$8:$G$32,3,0))))/SUMPRODUCT(($G$8:$G$32&gt;0)*($G$8:$G$32))</f>
        <v>132116.38345607999</v>
      </c>
      <c r="H55" s="118" cm="1">
        <f t="array" ref="H55">(VLOOKUP($B55,$E$8:$G$32,3,0)*(-(VLOOKUP(H$50,$E$8:$G$32,3,0))))/SUMPRODUCT(($G$8:$G$32&gt;0)*($G$8:$G$32))</f>
        <v>1426998.0160175306</v>
      </c>
      <c r="I55" s="118" cm="1">
        <f t="array" ref="I55">(VLOOKUP($B55,$E$8:$G$32,3,0)*(-(VLOOKUP(I$50,$E$8:$G$32,3,0))))/SUMPRODUCT(($G$8:$G$32&gt;0)*($G$8:$G$32))</f>
        <v>450067.03246193641</v>
      </c>
      <c r="J55" s="118" cm="1">
        <f t="array" ref="J55">(VLOOKUP($B55,$E$8:$G$32,3,0)*(-(VLOOKUP(J$50,$E$8:$G$32,3,0))))/SUMPRODUCT(($G$8:$G$32&gt;0)*($G$8:$G$32))</f>
        <v>4574405.6163191842</v>
      </c>
      <c r="K55" s="118" cm="1">
        <f t="array" ref="K55">(VLOOKUP($B55,$E$8:$G$32,3,0)*(-(VLOOKUP(K$50,$E$8:$G$32,3,0))))/SUMPRODUCT(($G$8:$G$32&gt;0)*($G$8:$G$32))</f>
        <v>27630.316517778887</v>
      </c>
      <c r="L55" s="118" cm="1">
        <f t="array" ref="L55">(VLOOKUP($B55,$E$8:$G$32,3,0)*(-(VLOOKUP(L$50,$E$8:$G$32,3,0))))/SUMPRODUCT(($G$8:$G$32&gt;0)*($G$8:$G$32))</f>
        <v>5061712.0861014547</v>
      </c>
      <c r="M55" s="118" cm="1">
        <f t="array" ref="M55">(VLOOKUP($B55,$E$8:$G$32,3,0)*(-(VLOOKUP(M$50,$E$8:$G$32,3,0))))/SUMPRODUCT(($G$8:$G$32&gt;0)*($G$8:$G$32))</f>
        <v>1045053.7858238823</v>
      </c>
      <c r="N55" s="118" cm="1">
        <f t="array" ref="N55">(VLOOKUP($B55,$E$8:$G$32,3,0)*(-(VLOOKUP(N$50,$E$8:$G$32,3,0))))/SUMPRODUCT(($G$8:$G$32&gt;0)*($G$8:$G$32))</f>
        <v>271088.13064245449</v>
      </c>
      <c r="O55" s="118" cm="1">
        <f t="array" ref="O55">(VLOOKUP($B55,$E$8:$G$32,3,0)*(-(VLOOKUP(O$50,$E$8:$G$32,3,0))))/SUMPRODUCT(($G$8:$G$32&gt;0)*($G$8:$G$32))</f>
        <v>41636.860072346928</v>
      </c>
      <c r="P55" s="119">
        <f>SUM(C55:O55)</f>
        <v>20302122.170343738</v>
      </c>
    </row>
    <row r="56" spans="2:17" x14ac:dyDescent="0.2">
      <c r="B56" s="78" t="s">
        <v>33</v>
      </c>
      <c r="C56" s="118" cm="1">
        <f t="array" ref="C56">(VLOOKUP($B56,$E$8:$G$32,3,0)*(-(VLOOKUP(C$50,$E$8:$G$32,3,0))))/SUMPRODUCT(($G$8:$G$32&gt;0)*($G$8:$G$32))</f>
        <v>2811.684638960658</v>
      </c>
      <c r="D56" s="118" cm="1">
        <f t="array" ref="D56">(VLOOKUP($B56,$E$8:$G$32,3,0)*(-(VLOOKUP(D$50,$E$8:$G$32,3,0))))/SUMPRODUCT(($G$8:$G$32&gt;0)*($G$8:$G$32))</f>
        <v>82372.513072667731</v>
      </c>
      <c r="E56" s="118" cm="1">
        <f t="array" ref="E56">(VLOOKUP($B56,$E$8:$G$32,3,0)*(-(VLOOKUP(E$50,$E$8:$G$32,3,0))))/SUMPRODUCT(($G$8:$G$32&gt;0)*($G$8:$G$32))</f>
        <v>1261751.2901509709</v>
      </c>
      <c r="F56" s="118" cm="1">
        <f t="array" ref="F56">(VLOOKUP($B56,$E$8:$G$32,3,0)*(-(VLOOKUP(F$50,$E$8:$G$32,3,0))))/SUMPRODUCT(($G$8:$G$32&gt;0)*($G$8:$G$32))</f>
        <v>38141.844162955022</v>
      </c>
      <c r="G56" s="118" cm="1">
        <f t="array" ref="G56">(VLOOKUP($B56,$E$8:$G$32,3,0)*(-(VLOOKUP(G$50,$E$8:$G$32,3,0))))/SUMPRODUCT(($G$8:$G$32&gt;0)*($G$8:$G$32))</f>
        <v>25165.863111411454</v>
      </c>
      <c r="H56" s="118" cm="1">
        <f t="array" ref="H56">(VLOOKUP($B56,$E$8:$G$32,3,0)*(-(VLOOKUP(H$50,$E$8:$G$32,3,0))))/SUMPRODUCT(($G$8:$G$32&gt;0)*($G$8:$G$32))</f>
        <v>271818.19386761484</v>
      </c>
      <c r="I56" s="118" cm="1">
        <f t="array" ref="I56">(VLOOKUP($B56,$E$8:$G$32,3,0)*(-(VLOOKUP(I$50,$E$8:$G$32,3,0))))/SUMPRODUCT(($G$8:$G$32&gt;0)*($G$8:$G$32))</f>
        <v>85729.907477080807</v>
      </c>
      <c r="J56" s="118" cm="1">
        <f t="array" ref="J56">(VLOOKUP($B56,$E$8:$G$32,3,0)*(-(VLOOKUP(J$50,$E$8:$G$32,3,0))))/SUMPRODUCT(($G$8:$G$32&gt;0)*($G$8:$G$32))</f>
        <v>871344.35976011842</v>
      </c>
      <c r="K56" s="118" cm="1">
        <f t="array" ref="K56">(VLOOKUP($B56,$E$8:$G$32,3,0)*(-(VLOOKUP(K$50,$E$8:$G$32,3,0))))/SUMPRODUCT(($G$8:$G$32&gt;0)*($G$8:$G$32))</f>
        <v>5263.0926235015304</v>
      </c>
      <c r="L56" s="118" cm="1">
        <f t="array" ref="L56">(VLOOKUP($B56,$E$8:$G$32,3,0)*(-(VLOOKUP(L$50,$E$8:$G$32,3,0))))/SUMPRODUCT(($G$8:$G$32&gt;0)*($G$8:$G$32))</f>
        <v>964167.72951215669</v>
      </c>
      <c r="M56" s="118" cm="1">
        <f t="array" ref="M56">(VLOOKUP($B56,$E$8:$G$32,3,0)*(-(VLOOKUP(M$50,$E$8:$G$32,3,0))))/SUMPRODUCT(($G$8:$G$32&gt;0)*($G$8:$G$32))</f>
        <v>199064.49018754013</v>
      </c>
      <c r="N56" s="118" cm="1">
        <f t="array" ref="N56">(VLOOKUP($B56,$E$8:$G$32,3,0)*(-(VLOOKUP(N$50,$E$8:$G$32,3,0))))/SUMPRODUCT(($G$8:$G$32&gt;0)*($G$8:$G$32))</f>
        <v>51637.553257309344</v>
      </c>
      <c r="O56" s="118" cm="1">
        <f t="array" ref="O56">(VLOOKUP($B56,$E$8:$G$32,3,0)*(-(VLOOKUP(O$50,$E$8:$G$32,3,0))))/SUMPRODUCT(($G$8:$G$32&gt;0)*($G$8:$G$32))</f>
        <v>7931.0944907753219</v>
      </c>
      <c r="P56" s="119">
        <f>SUM(C56:O56)</f>
        <v>3867199.6163130631</v>
      </c>
    </row>
    <row r="57" spans="2:17" x14ac:dyDescent="0.2">
      <c r="B57" s="78" t="s">
        <v>38</v>
      </c>
      <c r="C57" s="118" cm="1">
        <f t="array" ref="C57">(VLOOKUP($B57,$E$8:$G$32,3,0)*(-(VLOOKUP(C$50,$E$8:$G$32,3,0))))/SUMPRODUCT(($G$8:$G$32&gt;0)*($G$8:$G$32))</f>
        <v>2520.8041256169977</v>
      </c>
      <c r="D57" s="118" cm="1">
        <f t="array" ref="D57">(VLOOKUP($B57,$E$8:$G$32,3,0)*(-(VLOOKUP(D$50,$E$8:$G$32,3,0))))/SUMPRODUCT(($G$8:$G$32&gt;0)*($G$8:$G$32))</f>
        <v>73850.732729320953</v>
      </c>
      <c r="E57" s="118" cm="1">
        <f t="array" ref="E57">(VLOOKUP($B57,$E$8:$G$32,3,0)*(-(VLOOKUP(E$50,$E$8:$G$32,3,0))))/SUMPRODUCT(($G$8:$G$32&gt;0)*($G$8:$G$32))</f>
        <v>1131217.8519746293</v>
      </c>
      <c r="F57" s="118" cm="1">
        <f t="array" ref="F57">(VLOOKUP($B57,$E$8:$G$32,3,0)*(-(VLOOKUP(F$50,$E$8:$G$32,3,0))))/SUMPRODUCT(($G$8:$G$32&gt;0)*($G$8:$G$32))</f>
        <v>34195.911160278221</v>
      </c>
      <c r="G57" s="118" cm="1">
        <f t="array" ref="G57">(VLOOKUP($B57,$E$8:$G$32,3,0)*(-(VLOOKUP(G$50,$E$8:$G$32,3,0))))/SUMPRODUCT(($G$8:$G$32&gt;0)*($G$8:$G$32))</f>
        <v>22562.349517052735</v>
      </c>
      <c r="H57" s="118" cm="1">
        <f t="array" ref="H57">(VLOOKUP($B57,$E$8:$G$32,3,0)*(-(VLOOKUP(H$50,$E$8:$G$32,3,0))))/SUMPRODUCT(($G$8:$G$32&gt;0)*($G$8:$G$32))</f>
        <v>243697.46700061264</v>
      </c>
      <c r="I57" s="118" cm="1">
        <f t="array" ref="I57">(VLOOKUP($B57,$E$8:$G$32,3,0)*(-(VLOOKUP(I$50,$E$8:$G$32,3,0))))/SUMPRODUCT(($G$8:$G$32&gt;0)*($G$8:$G$32))</f>
        <v>76860.790667076159</v>
      </c>
      <c r="J57" s="118" cm="1">
        <f t="array" ref="J57">(VLOOKUP($B57,$E$8:$G$32,3,0)*(-(VLOOKUP(J$50,$E$8:$G$32,3,0))))/SUMPRODUCT(($G$8:$G$32&gt;0)*($G$8:$G$32))</f>
        <v>781200.14829555771</v>
      </c>
      <c r="K57" s="118" cm="1">
        <f t="array" ref="K57">(VLOOKUP($B57,$E$8:$G$32,3,0)*(-(VLOOKUP(K$50,$E$8:$G$32,3,0))))/SUMPRODUCT(($G$8:$G$32&gt;0)*($G$8:$G$32))</f>
        <v>4718.6037206972424</v>
      </c>
      <c r="L57" s="118" cm="1">
        <f t="array" ref="L57">(VLOOKUP($B57,$E$8:$G$32,3,0)*(-(VLOOKUP(L$50,$E$8:$G$32,3,0))))/SUMPRODUCT(($G$8:$G$32&gt;0)*($G$8:$G$32))</f>
        <v>864420.55295342312</v>
      </c>
      <c r="M57" s="118" cm="1">
        <f t="array" ref="M57">(VLOOKUP($B57,$E$8:$G$32,3,0)*(-(VLOOKUP(M$50,$E$8:$G$32,3,0))))/SUMPRODUCT(($G$8:$G$32&gt;0)*($G$8:$G$32))</f>
        <v>178470.43767827647</v>
      </c>
      <c r="N57" s="118" cm="1">
        <f t="array" ref="N57">(VLOOKUP($B57,$E$8:$G$32,3,0)*(-(VLOOKUP(N$50,$E$8:$G$32,3,0))))/SUMPRODUCT(($G$8:$G$32&gt;0)*($G$8:$G$32))</f>
        <v>46295.432810668841</v>
      </c>
      <c r="O57" s="118" cm="1">
        <f t="array" ref="O57">(VLOOKUP($B57,$E$8:$G$32,3,0)*(-(VLOOKUP(O$50,$E$8:$G$32,3,0))))/SUMPRODUCT(($G$8:$G$32&gt;0)*($G$8:$G$32))</f>
        <v>7110.5896571654648</v>
      </c>
      <c r="P57" s="119">
        <f>SUM(C57:O57)</f>
        <v>3467121.6722903755</v>
      </c>
    </row>
    <row r="58" spans="2:17" x14ac:dyDescent="0.2">
      <c r="B58" s="78" t="s">
        <v>40</v>
      </c>
      <c r="C58" s="118" cm="1">
        <f t="array" ref="C58">(VLOOKUP($B58,$E$8:$G$32,3,0)*(-(VLOOKUP(C$50,$E$8:$G$32,3,0))))/SUMPRODUCT(($G$8:$G$32&gt;0)*($G$8:$G$32))</f>
        <v>3736.7112762816109</v>
      </c>
      <c r="D58" s="118" cm="1">
        <f t="array" ref="D58">(VLOOKUP($B58,$E$8:$G$32,3,0)*(-(VLOOKUP(D$50,$E$8:$G$32,3,0))))/SUMPRODUCT(($G$8:$G$32&gt;0)*($G$8:$G$32))</f>
        <v>109472.55399455868</v>
      </c>
      <c r="E58" s="118" cm="1">
        <f t="array" ref="E58">(VLOOKUP($B58,$E$8:$G$32,3,0)*(-(VLOOKUP(E$50,$E$8:$G$32,3,0))))/SUMPRODUCT(($G$8:$G$32&gt;0)*($G$8:$G$32))</f>
        <v>1676859.5625691628</v>
      </c>
      <c r="F58" s="118" cm="1">
        <f t="array" ref="F58">(VLOOKUP($B58,$E$8:$G$32,3,0)*(-(VLOOKUP(F$50,$E$8:$G$32,3,0))))/SUMPRODUCT(($G$8:$G$32&gt;0)*($G$8:$G$32))</f>
        <v>50690.272019473174</v>
      </c>
      <c r="G58" s="118" cm="1">
        <f t="array" ref="G58">(VLOOKUP($B58,$E$8:$G$32,3,0)*(-(VLOOKUP(G$50,$E$8:$G$32,3,0))))/SUMPRODUCT(($G$8:$G$32&gt;0)*($G$8:$G$32))</f>
        <v>33445.274467385389</v>
      </c>
      <c r="H58" s="118" cm="1">
        <f t="array" ref="H58">(VLOOKUP($B58,$E$8:$G$32,3,0)*(-(VLOOKUP(H$50,$E$8:$G$32,3,0))))/SUMPRODUCT(($G$8:$G$32&gt;0)*($G$8:$G$32))</f>
        <v>361244.67731881706</v>
      </c>
      <c r="I58" s="118" cm="1">
        <f t="array" ref="I58">(VLOOKUP($B58,$E$8:$G$32,3,0)*(-(VLOOKUP(I$50,$E$8:$G$32,3,0))))/SUMPRODUCT(($G$8:$G$32&gt;0)*($G$8:$G$32))</f>
        <v>113934.51013147901</v>
      </c>
      <c r="J58" s="118" cm="1">
        <f t="array" ref="J58">(VLOOKUP($B58,$E$8:$G$32,3,0)*(-(VLOOKUP(J$50,$E$8:$G$32,3,0))))/SUMPRODUCT(($G$8:$G$32&gt;0)*($G$8:$G$32))</f>
        <v>1158011.1971033795</v>
      </c>
      <c r="K58" s="118" cm="1">
        <f t="array" ref="K58">(VLOOKUP($B58,$E$8:$G$32,3,0)*(-(VLOOKUP(K$50,$E$8:$G$32,3,0))))/SUMPRODUCT(($G$8:$G$32&gt;0)*($G$8:$G$32))</f>
        <v>6994.6171351643943</v>
      </c>
      <c r="L58" s="118" cm="1">
        <f t="array" ref="L58">(VLOOKUP($B58,$E$8:$G$32,3,0)*(-(VLOOKUP(L$50,$E$8:$G$32,3,0))))/SUMPRODUCT(($G$8:$G$32&gt;0)*($G$8:$G$32))</f>
        <v>1281372.874173648</v>
      </c>
      <c r="M58" s="118" cm="1">
        <f t="array" ref="M58">(VLOOKUP($B58,$E$8:$G$32,3,0)*(-(VLOOKUP(M$50,$E$8:$G$32,3,0))))/SUMPRODUCT(($G$8:$G$32&gt;0)*($G$8:$G$32))</f>
        <v>264555.46076675045</v>
      </c>
      <c r="N58" s="118" cm="1">
        <f t="array" ref="N58">(VLOOKUP($B58,$E$8:$G$32,3,0)*(-(VLOOKUP(N$50,$E$8:$G$32,3,0))))/SUMPRODUCT(($G$8:$G$32&gt;0)*($G$8:$G$32))</f>
        <v>68625.984885526108</v>
      </c>
      <c r="O58" s="118" cm="1">
        <f t="array" ref="O58">(VLOOKUP($B58,$E$8:$G$32,3,0)*(-(VLOOKUP(O$50,$E$8:$G$32,3,0))))/SUMPRODUCT(($G$8:$G$32&gt;0)*($G$8:$G$32))</f>
        <v>10540.374907724417</v>
      </c>
      <c r="P58" s="119">
        <f>SUM(C58:O58)</f>
        <v>5139484.0707493499</v>
      </c>
    </row>
    <row r="59" spans="2:17" x14ac:dyDescent="0.2">
      <c r="B59" s="78" t="s">
        <v>41</v>
      </c>
      <c r="C59" s="118" cm="1">
        <f t="array" ref="C59">(VLOOKUP($B59,$E$8:$G$32,3,0)*(-(VLOOKUP(C$50,$E$8:$G$32,3,0))))/SUMPRODUCT(($G$8:$G$32&gt;0)*($G$8:$G$32))</f>
        <v>9856.0366832923355</v>
      </c>
      <c r="D59" s="118" cm="1">
        <f t="array" ref="D59">(VLOOKUP($B59,$E$8:$G$32,3,0)*(-(VLOOKUP(D$50,$E$8:$G$32,3,0))))/SUMPRODUCT(($G$8:$G$32&gt;0)*($G$8:$G$32))</f>
        <v>288747.35782576876</v>
      </c>
      <c r="E59" s="118" cm="1">
        <f t="array" ref="E59">(VLOOKUP($B59,$E$8:$G$32,3,0)*(-(VLOOKUP(E$50,$E$8:$G$32,3,0))))/SUMPRODUCT(($G$8:$G$32&gt;0)*($G$8:$G$32))</f>
        <v>4422923.8331352593</v>
      </c>
      <c r="F59" s="118" cm="1">
        <f t="array" ref="F59">(VLOOKUP($B59,$E$8:$G$32,3,0)*(-(VLOOKUP(F$50,$E$8:$G$32,3,0))))/SUMPRODUCT(($G$8:$G$32&gt;0)*($G$8:$G$32))</f>
        <v>133701.84195958273</v>
      </c>
      <c r="G59" s="118" cm="1">
        <f t="array" ref="G59">(VLOOKUP($B59,$E$8:$G$32,3,0)*(-(VLOOKUP(G$50,$E$8:$G$32,3,0))))/SUMPRODUCT(($G$8:$G$32&gt;0)*($G$8:$G$32))</f>
        <v>88216.034812663507</v>
      </c>
      <c r="H59" s="118" cm="1">
        <f t="array" ref="H59">(VLOOKUP($B59,$E$8:$G$32,3,0)*(-(VLOOKUP(H$50,$E$8:$G$32,3,0))))/SUMPRODUCT(($G$8:$G$32&gt;0)*($G$8:$G$32))</f>
        <v>952827.3736046704</v>
      </c>
      <c r="I59" s="118" cm="1">
        <f t="array" ref="I59">(VLOOKUP($B59,$E$8:$G$32,3,0)*(-(VLOOKUP(I$50,$E$8:$G$32,3,0))))/SUMPRODUCT(($G$8:$G$32&gt;0)*($G$8:$G$32))</f>
        <v>300516.31724306941</v>
      </c>
      <c r="J59" s="118" cm="1">
        <f t="array" ref="J59">(VLOOKUP($B59,$E$8:$G$32,3,0)*(-(VLOOKUP(J$50,$E$8:$G$32,3,0))))/SUMPRODUCT(($G$8:$G$32&gt;0)*($G$8:$G$32))</f>
        <v>3054397.3013809128</v>
      </c>
      <c r="K59" s="118" cm="1">
        <f t="array" ref="K59">(VLOOKUP($B59,$E$8:$G$32,3,0)*(-(VLOOKUP(K$50,$E$8:$G$32,3,0))))/SUMPRODUCT(($G$8:$G$32&gt;0)*($G$8:$G$32))</f>
        <v>18449.165047176615</v>
      </c>
      <c r="L59" s="118" cm="1">
        <f t="array" ref="L59">(VLOOKUP($B59,$E$8:$G$32,3,0)*(-(VLOOKUP(L$50,$E$8:$G$32,3,0))))/SUMPRODUCT(($G$8:$G$32&gt;0)*($G$8:$G$32))</f>
        <v>3379778.9336827062</v>
      </c>
      <c r="M59" s="118" cm="1">
        <f t="array" ref="M59">(VLOOKUP($B59,$E$8:$G$32,3,0)*(-(VLOOKUP(M$50,$E$8:$G$32,3,0))))/SUMPRODUCT(($G$8:$G$32&gt;0)*($G$8:$G$32))</f>
        <v>697797.64431708562</v>
      </c>
      <c r="N59" s="118" cm="1">
        <f t="array" ref="N59">(VLOOKUP($B59,$E$8:$G$32,3,0)*(-(VLOOKUP(N$50,$E$8:$G$32,3,0))))/SUMPRODUCT(($G$8:$G$32&gt;0)*($G$8:$G$32))</f>
        <v>181009.49590407594</v>
      </c>
      <c r="O59" s="118" cm="1">
        <f t="array" ref="O59">(VLOOKUP($B59,$E$8:$G$32,3,0)*(-(VLOOKUP(O$50,$E$8:$G$32,3,0))))/SUMPRODUCT(($G$8:$G$32&gt;0)*($G$8:$G$32))</f>
        <v>27801.538322105222</v>
      </c>
      <c r="P59" s="119">
        <f>SUM(C59:O59)</f>
        <v>13556022.873918369</v>
      </c>
    </row>
    <row r="60" spans="2:17" x14ac:dyDescent="0.2">
      <c r="B60" s="78" t="s">
        <v>43</v>
      </c>
      <c r="C60" s="118" cm="1">
        <f t="array" ref="C60">(VLOOKUP($B60,$E$8:$G$32,3,0)*(-(VLOOKUP(C$50,$E$8:$G$32,3,0))))/SUMPRODUCT(($G$8:$G$32&gt;0)*($G$8:$G$32))</f>
        <v>6164.2223638417363</v>
      </c>
      <c r="D60" s="118" cm="1">
        <f t="array" ref="D60">(VLOOKUP($B60,$E$8:$G$32,3,0)*(-(VLOOKUP(D$50,$E$8:$G$32,3,0))))/SUMPRODUCT(($G$8:$G$32&gt;0)*($G$8:$G$32))</f>
        <v>180590.12743195801</v>
      </c>
      <c r="E60" s="118" cm="1">
        <f t="array" ref="E60">(VLOOKUP($B60,$E$8:$G$32,3,0)*(-(VLOOKUP(E$50,$E$8:$G$32,3,0))))/SUMPRODUCT(($G$8:$G$32&gt;0)*($G$8:$G$32))</f>
        <v>2766211.904628756</v>
      </c>
      <c r="F60" s="118" cm="1">
        <f t="array" ref="F60">(VLOOKUP($B60,$E$8:$G$32,3,0)*(-(VLOOKUP(F$50,$E$8:$G$32,3,0))))/SUMPRODUCT(($G$8:$G$32&gt;0)*($G$8:$G$32))</f>
        <v>83620.618589133141</v>
      </c>
      <c r="G60" s="118" cm="1">
        <f t="array" ref="G60">(VLOOKUP($B60,$E$8:$G$32,3,0)*(-(VLOOKUP(G$50,$E$8:$G$32,3,0))))/SUMPRODUCT(($G$8:$G$32&gt;0)*($G$8:$G$32))</f>
        <v>55172.608637249396</v>
      </c>
      <c r="H60" s="118" cm="1">
        <f t="array" ref="H60">(VLOOKUP($B60,$E$8:$G$32,3,0)*(-(VLOOKUP(H$50,$E$8:$G$32,3,0))))/SUMPRODUCT(($G$8:$G$32&gt;0)*($G$8:$G$32))</f>
        <v>595923.086935236</v>
      </c>
      <c r="I60" s="118" cm="1">
        <f t="array" ref="I60">(VLOOKUP($B60,$E$8:$G$32,3,0)*(-(VLOOKUP(I$50,$E$8:$G$32,3,0))))/SUMPRODUCT(($G$8:$G$32&gt;0)*($G$8:$G$32))</f>
        <v>187950.74155814623</v>
      </c>
      <c r="J60" s="118" cm="1">
        <f t="array" ref="J60">(VLOOKUP($B60,$E$8:$G$32,3,0)*(-(VLOOKUP(J$50,$E$8:$G$32,3,0))))/SUMPRODUCT(($G$8:$G$32&gt;0)*($G$8:$G$32))</f>
        <v>1910299.7237364911</v>
      </c>
      <c r="K60" s="118" cm="1">
        <f t="array" ref="K60">(VLOOKUP($B60,$E$8:$G$32,3,0)*(-(VLOOKUP(K$50,$E$8:$G$32,3,0))))/SUMPRODUCT(($G$8:$G$32&gt;0)*($G$8:$G$32))</f>
        <v>11538.588931065593</v>
      </c>
      <c r="L60" s="118" cm="1">
        <f t="array" ref="L60">(VLOOKUP($B60,$E$8:$G$32,3,0)*(-(VLOOKUP(L$50,$E$8:$G$32,3,0))))/SUMPRODUCT(($G$8:$G$32&gt;0)*($G$8:$G$32))</f>
        <v>2113801.881760932</v>
      </c>
      <c r="M60" s="118" cm="1">
        <f t="array" ref="M60">(VLOOKUP($B60,$E$8:$G$32,3,0)*(-(VLOOKUP(M$50,$E$8:$G$32,3,0))))/SUMPRODUCT(($G$8:$G$32&gt;0)*($G$8:$G$32))</f>
        <v>436420.84366701206</v>
      </c>
      <c r="N60" s="118" cm="1">
        <f t="array" ref="N60">(VLOOKUP($B60,$E$8:$G$32,3,0)*(-(VLOOKUP(N$50,$E$8:$G$32,3,0))))/SUMPRODUCT(($G$8:$G$32&gt;0)*($G$8:$G$32))</f>
        <v>113208.05903767247</v>
      </c>
      <c r="O60" s="118" cm="1">
        <f t="array" ref="O60">(VLOOKUP($B60,$E$8:$G$32,3,0)*(-(VLOOKUP(O$50,$E$8:$G$32,3,0))))/SUMPRODUCT(($G$8:$G$32&gt;0)*($G$8:$G$32))</f>
        <v>17387.807064966968</v>
      </c>
      <c r="P60" s="119">
        <f>SUM(C60:O60)</f>
        <v>8478290.21434246</v>
      </c>
    </row>
    <row r="61" spans="2:17" x14ac:dyDescent="0.2">
      <c r="B61" s="78" t="s">
        <v>49</v>
      </c>
      <c r="C61" s="118" cm="1">
        <f t="array" ref="C61">(VLOOKUP($B61,$E$8:$G$32,3,0)*(-(VLOOKUP(C$50,$E$8:$G$32,3,0))))/SUMPRODUCT(($G$8:$G$32&gt;0)*($G$8:$G$32))</f>
        <v>0</v>
      </c>
      <c r="D61" s="118" cm="1">
        <f t="array" ref="D61">(VLOOKUP($B61,$E$8:$G$32,3,0)*(-(VLOOKUP(D$50,$E$8:$G$32,3,0))))/SUMPRODUCT(($G$8:$G$32&gt;0)*($G$8:$G$32))</f>
        <v>0</v>
      </c>
      <c r="E61" s="118" cm="1">
        <f t="array" ref="E61">(VLOOKUP($B61,$E$8:$G$32,3,0)*(-(VLOOKUP(E$50,$E$8:$G$32,3,0))))/SUMPRODUCT(($G$8:$G$32&gt;0)*($G$8:$G$32))</f>
        <v>0</v>
      </c>
      <c r="F61" s="118" cm="1">
        <f t="array" ref="F61">(VLOOKUP($B61,$E$8:$G$32,3,0)*(-(VLOOKUP(F$50,$E$8:$G$32,3,0))))/SUMPRODUCT(($G$8:$G$32&gt;0)*($G$8:$G$32))</f>
        <v>0</v>
      </c>
      <c r="G61" s="118" cm="1">
        <f t="array" ref="G61">(VLOOKUP($B61,$E$8:$G$32,3,0)*(-(VLOOKUP(G$50,$E$8:$G$32,3,0))))/SUMPRODUCT(($G$8:$G$32&gt;0)*($G$8:$G$32))</f>
        <v>0</v>
      </c>
      <c r="H61" s="118" cm="1">
        <f t="array" ref="H61">(VLOOKUP($B61,$E$8:$G$32,3,0)*(-(VLOOKUP(H$50,$E$8:$G$32,3,0))))/SUMPRODUCT(($G$8:$G$32&gt;0)*($G$8:$G$32))</f>
        <v>0</v>
      </c>
      <c r="I61" s="118" cm="1">
        <f t="array" ref="I61">(VLOOKUP($B61,$E$8:$G$32,3,0)*(-(VLOOKUP(I$50,$E$8:$G$32,3,0))))/SUMPRODUCT(($G$8:$G$32&gt;0)*($G$8:$G$32))</f>
        <v>0</v>
      </c>
      <c r="J61" s="118" cm="1">
        <f t="array" ref="J61">(VLOOKUP($B61,$E$8:$G$32,3,0)*(-(VLOOKUP(J$50,$E$8:$G$32,3,0))))/SUMPRODUCT(($G$8:$G$32&gt;0)*($G$8:$G$32))</f>
        <v>0</v>
      </c>
      <c r="K61" s="118" cm="1">
        <f t="array" ref="K61">(VLOOKUP($B61,$E$8:$G$32,3,0)*(-(VLOOKUP(K$50,$E$8:$G$32,3,0))))/SUMPRODUCT(($G$8:$G$32&gt;0)*($G$8:$G$32))</f>
        <v>0</v>
      </c>
      <c r="L61" s="118" cm="1">
        <f t="array" ref="L61">(VLOOKUP($B61,$E$8:$G$32,3,0)*(-(VLOOKUP(L$50,$E$8:$G$32,3,0))))/SUMPRODUCT(($G$8:$G$32&gt;0)*($G$8:$G$32))</f>
        <v>0</v>
      </c>
      <c r="M61" s="118" cm="1">
        <f t="array" ref="M61">(VLOOKUP($B61,$E$8:$G$32,3,0)*(-(VLOOKUP(M$50,$E$8:$G$32,3,0))))/SUMPRODUCT(($G$8:$G$32&gt;0)*($G$8:$G$32))</f>
        <v>0</v>
      </c>
      <c r="N61" s="118" cm="1">
        <f t="array" ref="N61">(VLOOKUP($B61,$E$8:$G$32,3,0)*(-(VLOOKUP(N$50,$E$8:$G$32,3,0))))/SUMPRODUCT(($G$8:$G$32&gt;0)*($G$8:$G$32))</f>
        <v>0</v>
      </c>
      <c r="O61" s="118" cm="1">
        <f t="array" ref="O61">(VLOOKUP($B61,$E$8:$G$32,3,0)*(-(VLOOKUP(O$50,$E$8:$G$32,3,0))))/SUMPRODUCT(($G$8:$G$32&gt;0)*($G$8:$G$32))</f>
        <v>0</v>
      </c>
      <c r="P61" s="119">
        <f>SUM(C61:O61)</f>
        <v>0</v>
      </c>
    </row>
    <row r="62" spans="2:17" x14ac:dyDescent="0.2">
      <c r="B62" s="78" t="s">
        <v>50</v>
      </c>
      <c r="C62" s="118" cm="1">
        <f t="array" ref="C62">(VLOOKUP($B62,$E$8:$G$32,3,0)*(-(VLOOKUP(C$50,$E$8:$G$32,3,0))))/SUMPRODUCT(($G$8:$G$32&gt;0)*($G$8:$G$32))</f>
        <v>0</v>
      </c>
      <c r="D62" s="118" cm="1">
        <f t="array" ref="D62">(VLOOKUP($B62,$E$8:$G$32,3,0)*(-(VLOOKUP(D$50,$E$8:$G$32,3,0))))/SUMPRODUCT(($G$8:$G$32&gt;0)*($G$8:$G$32))</f>
        <v>0</v>
      </c>
      <c r="E62" s="118" cm="1">
        <f t="array" ref="E62">(VLOOKUP($B62,$E$8:$G$32,3,0)*(-(VLOOKUP(E$50,$E$8:$G$32,3,0))))/SUMPRODUCT(($G$8:$G$32&gt;0)*($G$8:$G$32))</f>
        <v>0</v>
      </c>
      <c r="F62" s="118" cm="1">
        <f t="array" ref="F62">(VLOOKUP($B62,$E$8:$G$32,3,0)*(-(VLOOKUP(F$50,$E$8:$G$32,3,0))))/SUMPRODUCT(($G$8:$G$32&gt;0)*($G$8:$G$32))</f>
        <v>0</v>
      </c>
      <c r="G62" s="118" cm="1">
        <f t="array" ref="G62">(VLOOKUP($B62,$E$8:$G$32,3,0)*(-(VLOOKUP(G$50,$E$8:$G$32,3,0))))/SUMPRODUCT(($G$8:$G$32&gt;0)*($G$8:$G$32))</f>
        <v>0</v>
      </c>
      <c r="H62" s="118" cm="1">
        <f t="array" ref="H62">(VLOOKUP($B62,$E$8:$G$32,3,0)*(-(VLOOKUP(H$50,$E$8:$G$32,3,0))))/SUMPRODUCT(($G$8:$G$32&gt;0)*($G$8:$G$32))</f>
        <v>0</v>
      </c>
      <c r="I62" s="118" cm="1">
        <f t="array" ref="I62">(VLOOKUP($B62,$E$8:$G$32,3,0)*(-(VLOOKUP(I$50,$E$8:$G$32,3,0))))/SUMPRODUCT(($G$8:$G$32&gt;0)*($G$8:$G$32))</f>
        <v>0</v>
      </c>
      <c r="J62" s="118" cm="1">
        <f t="array" ref="J62">(VLOOKUP($B62,$E$8:$G$32,3,0)*(-(VLOOKUP(J$50,$E$8:$G$32,3,0))))/SUMPRODUCT(($G$8:$G$32&gt;0)*($G$8:$G$32))</f>
        <v>0</v>
      </c>
      <c r="K62" s="118" cm="1">
        <f t="array" ref="K62">(VLOOKUP($B62,$E$8:$G$32,3,0)*(-(VLOOKUP(K$50,$E$8:$G$32,3,0))))/SUMPRODUCT(($G$8:$G$32&gt;0)*($G$8:$G$32))</f>
        <v>0</v>
      </c>
      <c r="L62" s="118" cm="1">
        <f t="array" ref="L62">(VLOOKUP($B62,$E$8:$G$32,3,0)*(-(VLOOKUP(L$50,$E$8:$G$32,3,0))))/SUMPRODUCT(($G$8:$G$32&gt;0)*($G$8:$G$32))</f>
        <v>0</v>
      </c>
      <c r="M62" s="118" cm="1">
        <f t="array" ref="M62">(VLOOKUP($B62,$E$8:$G$32,3,0)*(-(VLOOKUP(M$50,$E$8:$G$32,3,0))))/SUMPRODUCT(($G$8:$G$32&gt;0)*($G$8:$G$32))</f>
        <v>0</v>
      </c>
      <c r="N62" s="118" cm="1">
        <f t="array" ref="N62">(VLOOKUP($B62,$E$8:$G$32,3,0)*(-(VLOOKUP(N$50,$E$8:$G$32,3,0))))/SUMPRODUCT(($G$8:$G$32&gt;0)*($G$8:$G$32))</f>
        <v>0</v>
      </c>
      <c r="O62" s="118" cm="1">
        <f t="array" ref="O62">(VLOOKUP($B62,$E$8:$G$32,3,0)*(-(VLOOKUP(O$50,$E$8:$G$32,3,0))))/SUMPRODUCT(($G$8:$G$32&gt;0)*($G$8:$G$32))</f>
        <v>0</v>
      </c>
      <c r="P62" s="119">
        <f>SUM(C62:O62)</f>
        <v>0</v>
      </c>
    </row>
    <row r="63" spans="2:17" x14ac:dyDescent="0.2">
      <c r="B63" s="120" t="s">
        <v>52</v>
      </c>
      <c r="C63" s="121">
        <f t="shared" ref="C63:J63" si="1">SUM(C51:C62)</f>
        <v>706604.21999609401</v>
      </c>
      <c r="D63" s="121">
        <f t="shared" si="1"/>
        <v>20701029.035157323</v>
      </c>
      <c r="E63" s="121">
        <f t="shared" si="1"/>
        <v>317090606.05593294</v>
      </c>
      <c r="F63" s="121">
        <f t="shared" si="1"/>
        <v>9585423.5110591706</v>
      </c>
      <c r="G63" s="121">
        <f t="shared" si="1"/>
        <v>6324430.8511571232</v>
      </c>
      <c r="H63" s="121">
        <f t="shared" si="1"/>
        <v>68310606.458899021</v>
      </c>
      <c r="I63" s="121">
        <f t="shared" si="1"/>
        <v>21544775.528443463</v>
      </c>
      <c r="J63" s="121">
        <f t="shared" si="1"/>
        <v>218977474.62314507</v>
      </c>
      <c r="K63" s="121">
        <f t="shared" ref="K63:M63" si="2">SUM(K51:K62)</f>
        <v>1322667.3455708739</v>
      </c>
      <c r="L63" s="121">
        <f t="shared" si="2"/>
        <v>242304907.53371972</v>
      </c>
      <c r="M63" s="121">
        <f t="shared" si="2"/>
        <v>50026879.568500221</v>
      </c>
      <c r="N63" s="121">
        <f>SUM(N51:N62)</f>
        <v>12977028.979813118</v>
      </c>
      <c r="O63" s="121">
        <f>SUM(O51:O62)</f>
        <v>1993162.6608171791</v>
      </c>
      <c r="P63" s="82">
        <f>SUM(P51:P62)</f>
        <v>971865596.37221134</v>
      </c>
    </row>
    <row r="64" spans="2:17" x14ac:dyDescent="0.2">
      <c r="B64" s="50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Q64" s="17"/>
    </row>
    <row r="65" spans="2:16" x14ac:dyDescent="0.2">
      <c r="B65" s="110"/>
      <c r="C65" s="122"/>
      <c r="D65" s="122"/>
      <c r="E65" s="122"/>
      <c r="F65" s="122"/>
      <c r="G65" s="122"/>
      <c r="H65" s="50"/>
      <c r="I65" s="50"/>
      <c r="J65" s="50"/>
      <c r="K65" s="50"/>
      <c r="L65" s="50"/>
      <c r="M65" s="50"/>
      <c r="N65" s="50"/>
      <c r="O65" s="50"/>
      <c r="P65" s="84">
        <f>-SUMPRODUCT(($G$8:$G$32&lt;0)*($G$8:$G$32))</f>
        <v>971865596.37221134</v>
      </c>
    </row>
    <row r="66" spans="2:16" x14ac:dyDescent="0.2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85">
        <f>P63-P65</f>
        <v>0</v>
      </c>
    </row>
    <row r="67" spans="2:16" x14ac:dyDescent="0.2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85">
        <f>P63-J6</f>
        <v>0</v>
      </c>
    </row>
    <row r="81" spans="4:7" x14ac:dyDescent="0.2">
      <c r="D81" s="50"/>
      <c r="E81" s="50"/>
      <c r="F81" s="50"/>
      <c r="G81" s="50"/>
    </row>
  </sheetData>
  <mergeCells count="10">
    <mergeCell ref="J6:J7"/>
    <mergeCell ref="B49:B50"/>
    <mergeCell ref="C49:O49"/>
    <mergeCell ref="P49:P50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D97E-3846-4906-8E59-3460BD46F527}">
  <sheetPr codeName="Hoja12">
    <tabColor theme="7" tint="0.79998168889431442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20" customWidth="1"/>
    <col min="2" max="2" width="24.85546875" style="20" customWidth="1"/>
    <col min="3" max="3" width="11.5703125" style="20" bestFit="1" customWidth="1"/>
    <col min="4" max="4" width="13.140625" style="20" bestFit="1" customWidth="1"/>
    <col min="5" max="5" width="12.5703125" style="20" customWidth="1"/>
    <col min="6" max="6" width="9.5703125" style="20" bestFit="1" customWidth="1"/>
    <col min="7" max="7" width="12.140625" style="20" bestFit="1" customWidth="1"/>
    <col min="8" max="8" width="12.5703125" style="20" customWidth="1"/>
    <col min="9" max="9" width="13.85546875" style="20" customWidth="1"/>
    <col min="10" max="10" width="12.85546875" style="20" customWidth="1"/>
    <col min="11" max="11" width="13.85546875" style="20" customWidth="1"/>
    <col min="12" max="12" width="12.140625" style="20" bestFit="1" customWidth="1"/>
    <col min="13" max="13" width="11.5703125" style="20" bestFit="1" customWidth="1"/>
    <col min="14" max="14" width="14.42578125" style="20" customWidth="1"/>
    <col min="15" max="15" width="15.42578125" style="20" customWidth="1"/>
    <col min="16" max="16" width="11.7109375" style="20" customWidth="1"/>
    <col min="17" max="17" width="12.42578125" style="20" bestFit="1" customWidth="1"/>
    <col min="18" max="18" width="23.85546875" style="20" customWidth="1"/>
    <col min="19" max="16384" width="11.42578125" style="20"/>
  </cols>
  <sheetData>
    <row r="2" spans="2:17" x14ac:dyDescent="0.2">
      <c r="B2" s="19" t="s">
        <v>97</v>
      </c>
      <c r="C2" s="19"/>
      <c r="D2" s="19"/>
    </row>
    <row r="3" spans="2:17" x14ac:dyDescent="0.2">
      <c r="B3" s="21">
        <f>FechaFacturacion</f>
        <v>45597</v>
      </c>
      <c r="C3" s="22"/>
      <c r="D3" s="22"/>
      <c r="I3" s="23" t="s">
        <v>57</v>
      </c>
      <c r="J3" s="24"/>
      <c r="K3" s="24"/>
    </row>
    <row r="4" spans="2:17" x14ac:dyDescent="0.2">
      <c r="B4" s="25"/>
      <c r="D4" s="22"/>
      <c r="I4" s="26">
        <f>'Reliquidación TD'!$I$4</f>
        <v>2.557787040545545E-3</v>
      </c>
      <c r="J4" s="27"/>
      <c r="K4" s="27"/>
    </row>
    <row r="6" spans="2:17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55</v>
      </c>
      <c r="H6" s="29" t="str">
        <f>"Saldo "&amp;TEXT(B3-1,"mmmmmmmmmm")</f>
        <v>Saldo octubre</v>
      </c>
      <c r="I6" s="29" t="s">
        <v>58</v>
      </c>
      <c r="J6" s="29" t="s">
        <v>59</v>
      </c>
      <c r="K6" s="29" t="s">
        <v>60</v>
      </c>
      <c r="L6" s="30" t="s">
        <v>55</v>
      </c>
      <c r="M6" s="29" t="s">
        <v>90</v>
      </c>
      <c r="N6" s="31" t="s">
        <v>91</v>
      </c>
      <c r="O6" s="29" t="s">
        <v>64</v>
      </c>
      <c r="P6" s="29" t="s">
        <v>65</v>
      </c>
    </row>
    <row r="7" spans="2:17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7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7" x14ac:dyDescent="0.2">
      <c r="B9" s="40" t="s">
        <v>14</v>
      </c>
      <c r="C9" s="41">
        <f>SUMIF('Entrada 7TRAN'!$E$8:$E$43,'Reliquidación 7TRAN'!$B9,'Entrada 7TRAN'!F$8:F$43)</f>
        <v>2326097</v>
      </c>
      <c r="D9" s="41">
        <f>SUMIF('Entrada 7TRAN'!$E$8:$E$43,'Reliquidación 7TRAN'!$B9,'Entrada 7TRAN'!G$8:G$43)</f>
        <v>2635414</v>
      </c>
      <c r="E9" s="41">
        <f>SUMIF('Entrada 7TRAN'!$E$8:$E$43,'Reliquidación 7TRAN'!$B9,'Entrada 7TRAN'!H$8:H$43)</f>
        <v>185452</v>
      </c>
      <c r="F9" s="41">
        <f>SUMIF('Entrada 7TRAN'!$E$8:$E$43,'Reliquidación 7TRAN'!$B9,'Entrada 7TRAN'!I$8:I$43)</f>
        <v>40408</v>
      </c>
      <c r="G9" s="41">
        <f>SUMIF('Entrada 7TRAN'!$E$8:$E$43,'Reliquidación 7TRAN'!$B9,'Entrada 7TRAN'!J$8:J$43)</f>
        <v>3837382.4184077382</v>
      </c>
      <c r="H9" s="41">
        <v>635531.52732170653</v>
      </c>
      <c r="I9" s="41">
        <f t="shared" ref="I9:I43" si="0">H9*($I$4+1)</f>
        <v>637157.08162614808</v>
      </c>
      <c r="J9" s="41">
        <v>0</v>
      </c>
      <c r="K9" s="41">
        <f>+J9*($I$4+1)</f>
        <v>0</v>
      </c>
      <c r="L9" s="41">
        <f t="shared" ref="L9:L43" si="1">G9+I9</f>
        <v>4474539.5000338862</v>
      </c>
      <c r="M9" s="41">
        <f>IF(L9&lt;0,-L9,0)</f>
        <v>0</v>
      </c>
      <c r="N9" s="41">
        <f>IF(L9&gt;0,L9,0)</f>
        <v>4474539.5000338862</v>
      </c>
      <c r="O9" s="41">
        <f t="shared" ref="O9:O42" si="2">IF(OR($M$44=0,$N$44=0),0,((M9/$M$44-N9/$N$44)*$N$49))</f>
        <v>-3421918.2051495202</v>
      </c>
      <c r="P9" s="41">
        <f>L9+O9</f>
        <v>1052621.294884366</v>
      </c>
      <c r="Q9" s="86"/>
    </row>
    <row r="10" spans="2:17" x14ac:dyDescent="0.2">
      <c r="B10" s="42" t="s">
        <v>15</v>
      </c>
      <c r="C10" s="43">
        <f>SUMIF('Entrada 7TRAN'!$E$8:$E$43,'Reliquidación 7TRAN'!$B10,'Entrada 7TRAN'!F$8:F$43)</f>
        <v>831740</v>
      </c>
      <c r="D10" s="43">
        <f>SUMIF('Entrada 7TRAN'!$E$8:$E$43,'Reliquidación 7TRAN'!$B10,'Entrada 7TRAN'!G$8:G$43)</f>
        <v>3003747</v>
      </c>
      <c r="E10" s="43">
        <f>SUMIF('Entrada 7TRAN'!$E$8:$E$43,'Reliquidación 7TRAN'!$B10,'Entrada 7TRAN'!H$8:H$43)</f>
        <v>2532</v>
      </c>
      <c r="F10" s="43">
        <f>SUMIF('Entrada 7TRAN'!$E$8:$E$43,'Reliquidación 7TRAN'!$B10,'Entrada 7TRAN'!I$8:I$43)</f>
        <v>30414</v>
      </c>
      <c r="G10" s="43">
        <f>SUMIF('Entrada 7TRAN'!$E$8:$E$43,'Reliquidación 7TRAN'!$B10,'Entrada 7TRAN'!J$8:J$43)</f>
        <v>2758953.3434724798</v>
      </c>
      <c r="H10" s="43">
        <v>483469.21112967795</v>
      </c>
      <c r="I10" s="43">
        <f t="shared" si="0"/>
        <v>484705.82241240819</v>
      </c>
      <c r="J10" s="43">
        <v>0</v>
      </c>
      <c r="K10" s="43">
        <f t="shared" ref="K10:K43" si="3">+J10*($I$4+1)</f>
        <v>0</v>
      </c>
      <c r="L10" s="43">
        <f t="shared" si="1"/>
        <v>3243659.1658848878</v>
      </c>
      <c r="M10" s="43">
        <f t="shared" ref="M10:M43" si="4">IF(L10&lt;0,-L10,0)</f>
        <v>0</v>
      </c>
      <c r="N10" s="43">
        <f>IF(L10&gt;0,L10,0)</f>
        <v>3243659.1658848878</v>
      </c>
      <c r="O10" s="43">
        <f t="shared" si="2"/>
        <v>-2480598.584716382</v>
      </c>
      <c r="P10" s="43">
        <f t="shared" ref="P10:P43" si="5">L10+O10</f>
        <v>763060.58116850583</v>
      </c>
      <c r="Q10" s="86"/>
    </row>
    <row r="11" spans="2:17" x14ac:dyDescent="0.2">
      <c r="B11" s="42" t="s">
        <v>16</v>
      </c>
      <c r="C11" s="43">
        <f>SUMIF('Entrada 7TRAN'!$E$8:$E$43,'Reliquidación 7TRAN'!$B11,'Entrada 7TRAN'!F$8:F$43)</f>
        <v>1805683.4</v>
      </c>
      <c r="D11" s="43">
        <f>SUMIF('Entrada 7TRAN'!$E$8:$E$43,'Reliquidación 7TRAN'!$B11,'Entrada 7TRAN'!G$8:G$43)</f>
        <v>5971293.3500100002</v>
      </c>
      <c r="E11" s="43">
        <f>SUMIF('Entrada 7TRAN'!$E$8:$E$43,'Reliquidación 7TRAN'!$B11,'Entrada 7TRAN'!H$8:H$43)</f>
        <v>0</v>
      </c>
      <c r="F11" s="43">
        <f>SUMIF('Entrada 7TRAN'!$E$8:$E$43,'Reliquidación 7TRAN'!$B11,'Entrada 7TRAN'!I$8:I$43)</f>
        <v>13086.6</v>
      </c>
      <c r="G11" s="43">
        <f>SUMIF('Entrada 7TRAN'!$E$8:$E$43,'Reliquidación 7TRAN'!$B11,'Entrada 7TRAN'!J$8:J$43)</f>
        <v>6230978.1555255977</v>
      </c>
      <c r="H11" s="43">
        <v>1424860.5830010734</v>
      </c>
      <c r="I11" s="43">
        <f t="shared" si="0"/>
        <v>1428505.0729348578</v>
      </c>
      <c r="J11" s="43">
        <v>0</v>
      </c>
      <c r="K11" s="43">
        <f t="shared" si="3"/>
        <v>0</v>
      </c>
      <c r="L11" s="43">
        <f t="shared" si="1"/>
        <v>7659483.2284604553</v>
      </c>
      <c r="M11" s="43">
        <f t="shared" si="4"/>
        <v>0</v>
      </c>
      <c r="N11" s="43">
        <f t="shared" ref="N11:N43" si="6">IF(L11&gt;0,L11,0)</f>
        <v>7659483.2284604553</v>
      </c>
      <c r="O11" s="43">
        <f t="shared" si="2"/>
        <v>-5857613.9737525536</v>
      </c>
      <c r="P11" s="43">
        <f t="shared" si="5"/>
        <v>1801869.2547079017</v>
      </c>
      <c r="Q11" s="86"/>
    </row>
    <row r="12" spans="2:17" x14ac:dyDescent="0.2">
      <c r="B12" s="42" t="s">
        <v>17</v>
      </c>
      <c r="C12" s="43">
        <f>SUMIF('Entrada 7TRAN'!$E$8:$E$43,'Reliquidación 7TRAN'!$B12,'Entrada 7TRAN'!F$8:F$43)</f>
        <v>435195</v>
      </c>
      <c r="D12" s="43">
        <f>SUMIF('Entrada 7TRAN'!$E$8:$E$43,'Reliquidación 7TRAN'!$B12,'Entrada 7TRAN'!G$8:G$43)</f>
        <v>1404719</v>
      </c>
      <c r="E12" s="43">
        <f>SUMIF('Entrada 7TRAN'!$E$8:$E$43,'Reliquidación 7TRAN'!$B12,'Entrada 7TRAN'!H$8:H$43)</f>
        <v>0</v>
      </c>
      <c r="F12" s="43">
        <f>SUMIF('Entrada 7TRAN'!$E$8:$E$43,'Reliquidación 7TRAN'!$B12,'Entrada 7TRAN'!I$8:I$43)</f>
        <v>0</v>
      </c>
      <c r="G12" s="43">
        <f>SUMIF('Entrada 7TRAN'!$E$8:$E$43,'Reliquidación 7TRAN'!$B12,'Entrada 7TRAN'!J$8:J$43)</f>
        <v>1606130.9589036449</v>
      </c>
      <c r="H12" s="43">
        <v>390293.71788755152</v>
      </c>
      <c r="I12" s="43">
        <f t="shared" si="0"/>
        <v>391292.00610117061</v>
      </c>
      <c r="J12" s="43">
        <v>0</v>
      </c>
      <c r="K12" s="43">
        <f t="shared" si="3"/>
        <v>0</v>
      </c>
      <c r="L12" s="43">
        <f t="shared" si="1"/>
        <v>1997422.9650048155</v>
      </c>
      <c r="M12" s="43">
        <f t="shared" si="4"/>
        <v>0</v>
      </c>
      <c r="N12" s="43">
        <f t="shared" si="6"/>
        <v>1997422.9650048155</v>
      </c>
      <c r="O12" s="43">
        <f t="shared" si="2"/>
        <v>-1527535.5167346157</v>
      </c>
      <c r="P12" s="43">
        <f t="shared" si="5"/>
        <v>469887.44827019982</v>
      </c>
      <c r="Q12" s="86"/>
    </row>
    <row r="13" spans="2:17" x14ac:dyDescent="0.2">
      <c r="B13" s="42" t="s">
        <v>18</v>
      </c>
      <c r="C13" s="43">
        <f>SUMIF('Entrada 7TRAN'!$E$8:$E$43,'Reliquidación 7TRAN'!$B13,'Entrada 7TRAN'!F$8:F$43)</f>
        <v>150295288.942</v>
      </c>
      <c r="D13" s="43">
        <f>SUMIF('Entrada 7TRAN'!$E$8:$E$43,'Reliquidación 7TRAN'!$B13,'Entrada 7TRAN'!G$8:G$43)</f>
        <v>443534739.91159087</v>
      </c>
      <c r="E13" s="43">
        <f>SUMIF('Entrada 7TRAN'!$E$8:$E$43,'Reliquidación 7TRAN'!$B13,'Entrada 7TRAN'!H$8:H$43)</f>
        <v>5446913.2929999996</v>
      </c>
      <c r="F13" s="43">
        <f>SUMIF('Entrada 7TRAN'!$E$8:$E$43,'Reliquidación 7TRAN'!$B13,'Entrada 7TRAN'!I$8:I$43)</f>
        <v>1602973.736</v>
      </c>
      <c r="G13" s="43">
        <f>SUMIF('Entrada 7TRAN'!$E$8:$E$43,'Reliquidación 7TRAN'!$B13,'Entrada 7TRAN'!J$8:J$43)</f>
        <v>-486040788.48744488</v>
      </c>
      <c r="H13" s="43">
        <v>0</v>
      </c>
      <c r="I13" s="43">
        <f t="shared" si="0"/>
        <v>0</v>
      </c>
      <c r="J13" s="43">
        <v>0</v>
      </c>
      <c r="K13" s="43">
        <f t="shared" si="3"/>
        <v>0</v>
      </c>
      <c r="L13" s="43">
        <f t="shared" si="1"/>
        <v>-486040788.48744488</v>
      </c>
      <c r="M13" s="43">
        <f t="shared" si="4"/>
        <v>486040788.48744488</v>
      </c>
      <c r="N13" s="43">
        <f t="shared" si="6"/>
        <v>0</v>
      </c>
      <c r="O13" s="43">
        <f t="shared" si="2"/>
        <v>486040788.48744494</v>
      </c>
      <c r="P13" s="43">
        <f t="shared" si="5"/>
        <v>0</v>
      </c>
      <c r="Q13" s="86"/>
    </row>
    <row r="14" spans="2:17" x14ac:dyDescent="0.2">
      <c r="B14" s="42" t="s">
        <v>20</v>
      </c>
      <c r="C14" s="43">
        <f>SUMIF('Entrada 7TRAN'!$E$8:$E$43,'Reliquidación 7TRAN'!$B14,'Entrada 7TRAN'!F$8:F$43)</f>
        <v>47106.500999999997</v>
      </c>
      <c r="D14" s="43">
        <f>SUMIF('Entrada 7TRAN'!$E$8:$E$43,'Reliquidación 7TRAN'!$B14,'Entrada 7TRAN'!G$8:G$43)</f>
        <v>905866.74800000002</v>
      </c>
      <c r="E14" s="43">
        <f>SUMIF('Entrada 7TRAN'!$E$8:$E$43,'Reliquidación 7TRAN'!$B14,'Entrada 7TRAN'!H$8:H$43)</f>
        <v>0</v>
      </c>
      <c r="F14" s="43">
        <f>SUMIF('Entrada 7TRAN'!$E$8:$E$43,'Reliquidación 7TRAN'!$B14,'Entrada 7TRAN'!I$8:I$43)</f>
        <v>0</v>
      </c>
      <c r="G14" s="43">
        <f>SUMIF('Entrada 7TRAN'!$E$8:$E$43,'Reliquidación 7TRAN'!$B14,'Entrada 7TRAN'!J$8:J$43)</f>
        <v>600548.64445758157</v>
      </c>
      <c r="H14" s="43">
        <v>164791.9971607629</v>
      </c>
      <c r="I14" s="43">
        <f t="shared" si="0"/>
        <v>165213.49999548632</v>
      </c>
      <c r="J14" s="43">
        <v>0</v>
      </c>
      <c r="K14" s="43">
        <f t="shared" si="3"/>
        <v>0</v>
      </c>
      <c r="L14" s="43">
        <f t="shared" si="1"/>
        <v>765762.14445306791</v>
      </c>
      <c r="M14" s="43">
        <f t="shared" si="4"/>
        <v>0</v>
      </c>
      <c r="N14" s="43">
        <f t="shared" si="6"/>
        <v>765762.14445306791</v>
      </c>
      <c r="O14" s="43">
        <f t="shared" si="2"/>
        <v>-585619.01686161116</v>
      </c>
      <c r="P14" s="43">
        <f t="shared" si="5"/>
        <v>180143.12759145675</v>
      </c>
      <c r="Q14" s="86"/>
    </row>
    <row r="15" spans="2:17" x14ac:dyDescent="0.2">
      <c r="B15" s="42" t="s">
        <v>21</v>
      </c>
      <c r="C15" s="43">
        <f>SUMIF('Entrada 7TRAN'!$E$8:$E$43,'Reliquidación 7TRAN'!$B15,'Entrada 7TRAN'!F$8:F$43)</f>
        <v>11974026.299000001</v>
      </c>
      <c r="D15" s="43">
        <f>SUMIF('Entrada 7TRAN'!$E$8:$E$43,'Reliquidación 7TRAN'!$B15,'Entrada 7TRAN'!G$8:G$43)</f>
        <v>19645721.359000001</v>
      </c>
      <c r="E15" s="43">
        <f>SUMIF('Entrada 7TRAN'!$E$8:$E$43,'Reliquidación 7TRAN'!$B15,'Entrada 7TRAN'!H$8:H$43)</f>
        <v>272085.80099999998</v>
      </c>
      <c r="F15" s="43">
        <f>SUMIF('Entrada 7TRAN'!$E$8:$E$43,'Reliquidación 7TRAN'!$B15,'Entrada 7TRAN'!I$8:I$43)</f>
        <v>81469.142000000007</v>
      </c>
      <c r="G15" s="43">
        <f>SUMIF('Entrada 7TRAN'!$E$8:$E$43,'Reliquidación 7TRAN'!$B15,'Entrada 7TRAN'!J$8:J$43)</f>
        <v>-13889775.642939899</v>
      </c>
      <c r="H15" s="43">
        <v>0</v>
      </c>
      <c r="I15" s="43">
        <f t="shared" si="0"/>
        <v>0</v>
      </c>
      <c r="J15" s="43">
        <v>0</v>
      </c>
      <c r="K15" s="43">
        <f t="shared" si="3"/>
        <v>0</v>
      </c>
      <c r="L15" s="43">
        <f t="shared" si="1"/>
        <v>-13889775.642939899</v>
      </c>
      <c r="M15" s="43">
        <f t="shared" si="4"/>
        <v>13889775.642939899</v>
      </c>
      <c r="N15" s="43">
        <f t="shared" si="6"/>
        <v>0</v>
      </c>
      <c r="O15" s="43">
        <f t="shared" si="2"/>
        <v>13889775.642939899</v>
      </c>
      <c r="P15" s="43">
        <f t="shared" si="5"/>
        <v>0</v>
      </c>
      <c r="Q15" s="86"/>
    </row>
    <row r="16" spans="2:17" x14ac:dyDescent="0.2">
      <c r="B16" s="42" t="s">
        <v>22</v>
      </c>
      <c r="C16" s="43">
        <f>SUMIF('Entrada 7TRAN'!$E$8:$E$43,'Reliquidación 7TRAN'!$B16,'Entrada 7TRAN'!F$8:F$43)</f>
        <v>0</v>
      </c>
      <c r="D16" s="43">
        <f>SUMIF('Entrada 7TRAN'!$E$8:$E$43,'Reliquidación 7TRAN'!$B16,'Entrada 7TRAN'!G$8:G$43)</f>
        <v>0</v>
      </c>
      <c r="E16" s="43">
        <f>SUMIF('Entrada 7TRAN'!$E$8:$E$43,'Reliquidación 7TRAN'!$B16,'Entrada 7TRAN'!H$8:H$43)</f>
        <v>0</v>
      </c>
      <c r="F16" s="43">
        <f>SUMIF('Entrada 7TRAN'!$E$8:$E$43,'Reliquidación 7TRAN'!$B16,'Entrada 7TRAN'!I$8:I$43)</f>
        <v>0</v>
      </c>
      <c r="G16" s="43">
        <f>SUMIF('Entrada 7TRAN'!$E$8:$E$43,'Reliquidación 7TRAN'!$B16,'Entrada 7TRAN'!J$8:J$43)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3"/>
        <v>0</v>
      </c>
      <c r="L16" s="43">
        <f t="shared" si="1"/>
        <v>0</v>
      </c>
      <c r="M16" s="43">
        <f t="shared" si="4"/>
        <v>0</v>
      </c>
      <c r="N16" s="43">
        <f t="shared" si="6"/>
        <v>0</v>
      </c>
      <c r="O16" s="43">
        <f t="shared" si="2"/>
        <v>0</v>
      </c>
      <c r="P16" s="43">
        <f t="shared" si="5"/>
        <v>0</v>
      </c>
      <c r="Q16" s="86"/>
    </row>
    <row r="17" spans="2:17" x14ac:dyDescent="0.2">
      <c r="B17" s="42" t="s">
        <v>23</v>
      </c>
      <c r="C17" s="43">
        <f>SUMIF('Entrada 7TRAN'!$E$8:$E$43,'Reliquidación 7TRAN'!$B17,'Entrada 7TRAN'!F$8:F$43)</f>
        <v>0</v>
      </c>
      <c r="D17" s="43">
        <f>SUMIF('Entrada 7TRAN'!$E$8:$E$43,'Reliquidación 7TRAN'!$B17,'Entrada 7TRAN'!G$8:G$43)</f>
        <v>0</v>
      </c>
      <c r="E17" s="43">
        <f>SUMIF('Entrada 7TRAN'!$E$8:$E$43,'Reliquidación 7TRAN'!$B17,'Entrada 7TRAN'!H$8:H$43)</f>
        <v>0</v>
      </c>
      <c r="F17" s="43">
        <f>SUMIF('Entrada 7TRAN'!$E$8:$E$43,'Reliquidación 7TRAN'!$B17,'Entrada 7TRAN'!I$8:I$43)</f>
        <v>0</v>
      </c>
      <c r="G17" s="43">
        <f>SUMIF('Entrada 7TRAN'!$E$8:$E$43,'Reliquidación 7TRAN'!$B17,'Entrada 7TRAN'!J$8:J$43)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3"/>
        <v>0</v>
      </c>
      <c r="L17" s="43">
        <f t="shared" si="1"/>
        <v>0</v>
      </c>
      <c r="M17" s="43">
        <f t="shared" si="4"/>
        <v>0</v>
      </c>
      <c r="N17" s="43">
        <f t="shared" si="6"/>
        <v>0</v>
      </c>
      <c r="O17" s="43">
        <f t="shared" si="2"/>
        <v>0</v>
      </c>
      <c r="P17" s="43">
        <f t="shared" si="5"/>
        <v>0</v>
      </c>
      <c r="Q17" s="86"/>
    </row>
    <row r="18" spans="2:17" x14ac:dyDescent="0.2">
      <c r="B18" s="42" t="s">
        <v>24</v>
      </c>
      <c r="C18" s="43">
        <f>SUMIF('Entrada 7TRAN'!$E$8:$E$43,'Reliquidación 7TRAN'!$B18,'Entrada 7TRAN'!F$8:F$43)+SUMIF('Entrada 7TRAN'!$E$8:$E$43,"LUZ ANDES",'Entrada 7TRAN'!F$8:F$43)</f>
        <v>99737508.738999993</v>
      </c>
      <c r="D18" s="43">
        <f>SUMIF('Entrada 7TRAN'!$E$8:$E$43,'Reliquidación 7TRAN'!$B18,'Entrada 7TRAN'!G$8:G$43)+SUMIF('Entrada 7TRAN'!$E$8:$E$43,"LUZ ANDES",'Entrada 7TRAN'!G$8:G$43)</f>
        <v>579636193.58700001</v>
      </c>
      <c r="E18" s="43">
        <f>SUMIF('Entrada 7TRAN'!$E$8:$E$43,'Reliquidación 7TRAN'!$B18,'Entrada 7TRAN'!H$8:H$43)+SUMIF('Entrada 7TRAN'!$E$8:$E$43,"LUZ ANDES",'Entrada 7TRAN'!H$8:H$43)</f>
        <v>535261</v>
      </c>
      <c r="F18" s="43">
        <f>SUMIF('Entrada 7TRAN'!$E$8:$E$43,'Reliquidación 7TRAN'!$B18,'Entrada 7TRAN'!I$8:I$43)+SUMIF('Entrada 7TRAN'!$E$8:$E$43,"LUZ ANDES",'Entrada 7TRAN'!I$8:I$43)</f>
        <v>1279747.5719999999</v>
      </c>
      <c r="G18" s="43">
        <f>SUMIF('Entrada 7TRAN'!$E$8:$E$43,'Reliquidación 7TRAN'!$B18,'Entrada 7TRAN'!J$8:J$43)+SUMIF('Entrada 7TRAN'!$E$8:$E$43,"LUZ ANDES",'Entrada 7TRAN'!J$8:J$43)</f>
        <v>506306460.3646099</v>
      </c>
      <c r="H18" s="43">
        <v>118809057.1525206</v>
      </c>
      <c r="I18" s="43">
        <f t="shared" si="0"/>
        <v>119112945.41920474</v>
      </c>
      <c r="J18" s="43">
        <v>0</v>
      </c>
      <c r="K18" s="43">
        <f t="shared" si="3"/>
        <v>0</v>
      </c>
      <c r="L18" s="43">
        <f t="shared" si="1"/>
        <v>625419405.78381467</v>
      </c>
      <c r="M18" s="43">
        <f t="shared" si="4"/>
        <v>0</v>
      </c>
      <c r="N18" s="43">
        <f t="shared" si="6"/>
        <v>625419405.78381467</v>
      </c>
      <c r="O18" s="43">
        <f t="shared" si="2"/>
        <v>-478291464.51589555</v>
      </c>
      <c r="P18" s="43">
        <f t="shared" si="5"/>
        <v>147127941.26791912</v>
      </c>
      <c r="Q18" s="86"/>
    </row>
    <row r="19" spans="2:17" x14ac:dyDescent="0.2">
      <c r="B19" s="42" t="s">
        <v>26</v>
      </c>
      <c r="C19" s="43">
        <f>SUMIF('Entrada 7TRAN'!$E$8:$E$43,'Reliquidación 7TRAN'!$B19,'Entrada 7TRAN'!F$8:F$43)</f>
        <v>36115044.516000003</v>
      </c>
      <c r="D19" s="43">
        <f>SUMIF('Entrada 7TRAN'!$E$8:$E$43,'Reliquidación 7TRAN'!$B19,'Entrada 7TRAN'!G$8:G$43)</f>
        <v>67120981.821999997</v>
      </c>
      <c r="E19" s="43">
        <f>SUMIF('Entrada 7TRAN'!$E$8:$E$43,'Reliquidación 7TRAN'!$B19,'Entrada 7TRAN'!H$8:H$43)</f>
        <v>1245663.814</v>
      </c>
      <c r="F19" s="43">
        <f>SUMIF('Entrada 7TRAN'!$E$8:$E$43,'Reliquidación 7TRAN'!$B19,'Entrada 7TRAN'!I$8:I$43)</f>
        <v>157017.12599999999</v>
      </c>
      <c r="G19" s="43">
        <f>SUMIF('Entrada 7TRAN'!$E$8:$E$43,'Reliquidación 7TRAN'!$B19,'Entrada 7TRAN'!J$8:J$43)</f>
        <v>-56282418.066988923</v>
      </c>
      <c r="H19" s="43">
        <v>0</v>
      </c>
      <c r="I19" s="43">
        <f t="shared" si="0"/>
        <v>0</v>
      </c>
      <c r="J19" s="43">
        <v>0</v>
      </c>
      <c r="K19" s="43">
        <f t="shared" si="3"/>
        <v>0</v>
      </c>
      <c r="L19" s="43">
        <f t="shared" si="1"/>
        <v>-56282418.066988923</v>
      </c>
      <c r="M19" s="43">
        <f t="shared" si="4"/>
        <v>56282418.066988923</v>
      </c>
      <c r="N19" s="43">
        <f t="shared" si="6"/>
        <v>0</v>
      </c>
      <c r="O19" s="43">
        <f t="shared" si="2"/>
        <v>56282418.066988923</v>
      </c>
      <c r="P19" s="43">
        <f t="shared" si="5"/>
        <v>0</v>
      </c>
      <c r="Q19" s="86"/>
    </row>
    <row r="20" spans="2:17" x14ac:dyDescent="0.2">
      <c r="B20" s="42" t="s">
        <v>27</v>
      </c>
      <c r="C20" s="43">
        <f>SUMIF('Entrada 7TRAN'!$E$8:$E$43,'Reliquidación 7TRAN'!$B20,'Entrada 7TRAN'!F$8:F$43)</f>
        <v>3546002.7880000002</v>
      </c>
      <c r="D20" s="43">
        <f>SUMIF('Entrada 7TRAN'!$E$8:$E$43,'Reliquidación 7TRAN'!$B20,'Entrada 7TRAN'!G$8:G$43)</f>
        <v>17843777.791000001</v>
      </c>
      <c r="E20" s="43">
        <f>SUMIF('Entrada 7TRAN'!$E$8:$E$43,'Reliquidación 7TRAN'!$B20,'Entrada 7TRAN'!H$8:H$43)</f>
        <v>0</v>
      </c>
      <c r="F20" s="43">
        <f>SUMIF('Entrada 7TRAN'!$E$8:$E$43,'Reliquidación 7TRAN'!$B20,'Entrada 7TRAN'!I$8:I$43)</f>
        <v>23027.304</v>
      </c>
      <c r="G20" s="43">
        <f>SUMIF('Entrada 7TRAN'!$E$8:$E$43,'Reliquidación 7TRAN'!$B20,'Entrada 7TRAN'!J$8:J$43)</f>
        <v>19437768.076318771</v>
      </c>
      <c r="H20" s="43">
        <v>4520691.9216367174</v>
      </c>
      <c r="I20" s="43">
        <f t="shared" si="0"/>
        <v>4532254.888848179</v>
      </c>
      <c r="J20" s="43">
        <v>0</v>
      </c>
      <c r="K20" s="43">
        <f t="shared" si="3"/>
        <v>0</v>
      </c>
      <c r="L20" s="43">
        <f t="shared" si="1"/>
        <v>23970022.965166949</v>
      </c>
      <c r="M20" s="43">
        <f t="shared" si="4"/>
        <v>0</v>
      </c>
      <c r="N20" s="43">
        <f t="shared" si="6"/>
        <v>23970022.965166949</v>
      </c>
      <c r="O20" s="43">
        <f t="shared" si="2"/>
        <v>-18331150.716567747</v>
      </c>
      <c r="P20" s="43">
        <f t="shared" si="5"/>
        <v>5638872.2485992014</v>
      </c>
      <c r="Q20" s="86"/>
    </row>
    <row r="21" spans="2:17" x14ac:dyDescent="0.2">
      <c r="B21" s="42" t="s">
        <v>28</v>
      </c>
      <c r="C21" s="43">
        <f>SUMIF('Entrada 7TRAN'!$E$8:$E$43,'Reliquidación 7TRAN'!$B21,'Entrada 7TRAN'!F$8:F$43)</f>
        <v>0</v>
      </c>
      <c r="D21" s="43">
        <f>SUMIF('Entrada 7TRAN'!$E$8:$E$43,'Reliquidación 7TRAN'!$B21,'Entrada 7TRAN'!G$8:G$43)</f>
        <v>0</v>
      </c>
      <c r="E21" s="43">
        <f>SUMIF('Entrada 7TRAN'!$E$8:$E$43,'Reliquidación 7TRAN'!$B21,'Entrada 7TRAN'!H$8:H$43)</f>
        <v>0</v>
      </c>
      <c r="F21" s="43">
        <f>SUMIF('Entrada 7TRAN'!$E$8:$E$43,'Reliquidación 7TRAN'!$B21,'Entrada 7TRAN'!I$8:I$43)</f>
        <v>0</v>
      </c>
      <c r="G21" s="43">
        <f>SUMIF('Entrada 7TRAN'!$E$8:$E$43,'Reliquidación 7TRAN'!$B21,'Entrada 7TRAN'!J$8:J$43)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3"/>
        <v>0</v>
      </c>
      <c r="L21" s="43">
        <f t="shared" si="1"/>
        <v>0</v>
      </c>
      <c r="M21" s="43">
        <f t="shared" si="4"/>
        <v>0</v>
      </c>
      <c r="N21" s="43">
        <f t="shared" si="6"/>
        <v>0</v>
      </c>
      <c r="O21" s="43">
        <f t="shared" si="2"/>
        <v>0</v>
      </c>
      <c r="P21" s="43">
        <f t="shared" si="5"/>
        <v>0</v>
      </c>
      <c r="Q21" s="86"/>
    </row>
    <row r="22" spans="2:17" x14ac:dyDescent="0.2">
      <c r="B22" s="42" t="s">
        <v>29</v>
      </c>
      <c r="C22" s="43">
        <f>SUMIF('Entrada 7TRAN'!$E$8:$E$43,'Reliquidación 7TRAN'!$B22,'Entrada 7TRAN'!F$8:F$43)</f>
        <v>1340082</v>
      </c>
      <c r="D22" s="43">
        <f>SUMIF('Entrada 7TRAN'!$E$8:$E$43,'Reliquidación 7TRAN'!$B22,'Entrada 7TRAN'!G$8:G$43)</f>
        <v>7838468</v>
      </c>
      <c r="E22" s="43">
        <f>SUMIF('Entrada 7TRAN'!$E$8:$E$43,'Reliquidación 7TRAN'!$B22,'Entrada 7TRAN'!H$8:H$43)</f>
        <v>739</v>
      </c>
      <c r="F22" s="43">
        <f>SUMIF('Entrada 7TRAN'!$E$8:$E$43,'Reliquidación 7TRAN'!$B22,'Entrada 7TRAN'!I$8:I$43)</f>
        <v>19826</v>
      </c>
      <c r="G22" s="43">
        <f>SUMIF('Entrada 7TRAN'!$E$8:$E$43,'Reliquidación 7TRAN'!$B22,'Entrada 7TRAN'!J$8:J$43)</f>
        <v>6940524.3997858316</v>
      </c>
      <c r="H22" s="43">
        <v>1762550.4433367699</v>
      </c>
      <c r="I22" s="43">
        <f t="shared" si="0"/>
        <v>1767058.6720190446</v>
      </c>
      <c r="J22" s="43">
        <v>0</v>
      </c>
      <c r="K22" s="43">
        <f t="shared" si="3"/>
        <v>0</v>
      </c>
      <c r="L22" s="43">
        <f t="shared" si="1"/>
        <v>8707583.0718048755</v>
      </c>
      <c r="M22" s="43">
        <f t="shared" si="4"/>
        <v>0</v>
      </c>
      <c r="N22" s="43">
        <f t="shared" si="6"/>
        <v>8707583.0718048755</v>
      </c>
      <c r="O22" s="43">
        <f t="shared" si="2"/>
        <v>-6659151.6369528603</v>
      </c>
      <c r="P22" s="43">
        <f t="shared" si="5"/>
        <v>2048431.4348520152</v>
      </c>
      <c r="Q22" s="86"/>
    </row>
    <row r="23" spans="2:17" x14ac:dyDescent="0.2">
      <c r="B23" s="42" t="s">
        <v>30</v>
      </c>
      <c r="C23" s="43">
        <f>SUMIF('Entrada 7TRAN'!$E$8:$E$43,'Reliquidación 7TRAN'!$B23,'Entrada 7TRAN'!F$8:F$43)</f>
        <v>6403665</v>
      </c>
      <c r="D23" s="43">
        <f>SUMIF('Entrada 7TRAN'!$E$8:$E$43,'Reliquidación 7TRAN'!$B23,'Entrada 7TRAN'!G$8:G$43)</f>
        <v>12660966</v>
      </c>
      <c r="E23" s="43">
        <f>SUMIF('Entrada 7TRAN'!$E$8:$E$43,'Reliquidación 7TRAN'!$B23,'Entrada 7TRAN'!H$8:H$43)</f>
        <v>536317</v>
      </c>
      <c r="F23" s="43">
        <f>SUMIF('Entrada 7TRAN'!$E$8:$E$43,'Reliquidación 7TRAN'!$B23,'Entrada 7TRAN'!I$8:I$43)</f>
        <v>135868</v>
      </c>
      <c r="G23" s="43">
        <f>SUMIF('Entrada 7TRAN'!$E$8:$E$43,'Reliquidación 7TRAN'!$B23,'Entrada 7TRAN'!J$8:J$43)</f>
        <v>12877832.567994719</v>
      </c>
      <c r="H23" s="43">
        <v>3061967.9419941958</v>
      </c>
      <c r="I23" s="43">
        <f t="shared" si="0"/>
        <v>3069799.8039147947</v>
      </c>
      <c r="J23" s="43">
        <v>0</v>
      </c>
      <c r="K23" s="43">
        <f t="shared" si="3"/>
        <v>0</v>
      </c>
      <c r="L23" s="43">
        <f t="shared" si="1"/>
        <v>15947632.371909514</v>
      </c>
      <c r="M23" s="43">
        <f t="shared" si="4"/>
        <v>0</v>
      </c>
      <c r="N23" s="43">
        <f t="shared" si="6"/>
        <v>15947632.371909514</v>
      </c>
      <c r="O23" s="43">
        <f t="shared" si="2"/>
        <v>-12196002.190181963</v>
      </c>
      <c r="P23" s="43">
        <f t="shared" si="5"/>
        <v>3751630.1817275509</v>
      </c>
      <c r="Q23" s="86"/>
    </row>
    <row r="24" spans="2:17" x14ac:dyDescent="0.2">
      <c r="B24" s="42" t="s">
        <v>31</v>
      </c>
      <c r="C24" s="43">
        <f>SUMIF('Entrada 7TRAN'!$E$8:$E$43,'Reliquidación 7TRAN'!$B24,'Entrada 7TRAN'!F$8:F$43)</f>
        <v>1672175</v>
      </c>
      <c r="D24" s="43">
        <f>SUMIF('Entrada 7TRAN'!$E$8:$E$43,'Reliquidación 7TRAN'!$B24,'Entrada 7TRAN'!G$8:G$43)</f>
        <v>13546908</v>
      </c>
      <c r="E24" s="43">
        <f>SUMIF('Entrada 7TRAN'!$E$8:$E$43,'Reliquidación 7TRAN'!$B24,'Entrada 7TRAN'!H$8:H$43)</f>
        <v>234</v>
      </c>
      <c r="F24" s="43">
        <f>SUMIF('Entrada 7TRAN'!$E$8:$E$43,'Reliquidación 7TRAN'!$B24,'Entrada 7TRAN'!I$8:I$43)</f>
        <v>85701</v>
      </c>
      <c r="G24" s="43">
        <f>SUMIF('Entrada 7TRAN'!$E$8:$E$43,'Reliquidación 7TRAN'!$B24,'Entrada 7TRAN'!J$8:J$43)</f>
        <v>10698386.641841801</v>
      </c>
      <c r="H24" s="43">
        <v>2549464.9425543565</v>
      </c>
      <c r="I24" s="43">
        <f t="shared" si="0"/>
        <v>2555985.9309447473</v>
      </c>
      <c r="J24" s="43">
        <v>0</v>
      </c>
      <c r="K24" s="43">
        <f t="shared" si="3"/>
        <v>0</v>
      </c>
      <c r="L24" s="43">
        <f t="shared" si="1"/>
        <v>13254372.572786547</v>
      </c>
      <c r="M24" s="43">
        <f t="shared" si="4"/>
        <v>0</v>
      </c>
      <c r="N24" s="43">
        <f t="shared" si="6"/>
        <v>13254372.572786547</v>
      </c>
      <c r="O24" s="43">
        <f t="shared" si="2"/>
        <v>-10136323.258361958</v>
      </c>
      <c r="P24" s="43">
        <f t="shared" si="5"/>
        <v>3118049.3144245893</v>
      </c>
      <c r="Q24" s="86"/>
    </row>
    <row r="25" spans="2:17" x14ac:dyDescent="0.2">
      <c r="B25" s="42" t="s">
        <v>32</v>
      </c>
      <c r="C25" s="43">
        <f>SUMIF('Entrada 7TRAN'!$E$8:$E$43,'Reliquidación 7TRAN'!$B25,'Entrada 7TRAN'!F$8:F$43)</f>
        <v>415252</v>
      </c>
      <c r="D25" s="43">
        <f>SUMIF('Entrada 7TRAN'!$E$8:$E$43,'Reliquidación 7TRAN'!$B25,'Entrada 7TRAN'!G$8:G$43)</f>
        <v>2739791</v>
      </c>
      <c r="E25" s="43">
        <f>SUMIF('Entrada 7TRAN'!$E$8:$E$43,'Reliquidación 7TRAN'!$B25,'Entrada 7TRAN'!H$8:H$43)</f>
        <v>165044</v>
      </c>
      <c r="F25" s="43">
        <f>SUMIF('Entrada 7TRAN'!$E$8:$E$43,'Reliquidación 7TRAN'!$B25,'Entrada 7TRAN'!I$8:I$43)</f>
        <v>46882</v>
      </c>
      <c r="G25" s="43">
        <f>SUMIF('Entrada 7TRAN'!$E$8:$E$43,'Reliquidación 7TRAN'!$B25,'Entrada 7TRAN'!J$8:J$43)</f>
        <v>2491308.1110966229</v>
      </c>
      <c r="H25" s="43">
        <v>591361.00754734315</v>
      </c>
      <c r="I25" s="43">
        <f t="shared" si="0"/>
        <v>592873.58306873171</v>
      </c>
      <c r="J25" s="43">
        <v>0</v>
      </c>
      <c r="K25" s="43">
        <f t="shared" si="3"/>
        <v>0</v>
      </c>
      <c r="L25" s="43">
        <f t="shared" si="1"/>
        <v>3084181.6941653546</v>
      </c>
      <c r="M25" s="43">
        <f t="shared" si="4"/>
        <v>0</v>
      </c>
      <c r="N25" s="43">
        <f t="shared" si="6"/>
        <v>3084181.6941653546</v>
      </c>
      <c r="O25" s="43">
        <f t="shared" si="2"/>
        <v>-2358637.6848776038</v>
      </c>
      <c r="P25" s="43">
        <f t="shared" si="5"/>
        <v>725544.00928775081</v>
      </c>
      <c r="Q25" s="86"/>
    </row>
    <row r="26" spans="2:17" x14ac:dyDescent="0.2">
      <c r="B26" s="42" t="s">
        <v>33</v>
      </c>
      <c r="C26" s="43">
        <f>SUMIF('Entrada 7TRAN'!$E$8:$E$43,'Reliquidación 7TRAN'!$B26,'Entrada 7TRAN'!F$8:F$43)</f>
        <v>1101853</v>
      </c>
      <c r="D26" s="43">
        <f>SUMIF('Entrada 7TRAN'!$E$8:$E$43,'Reliquidación 7TRAN'!$B26,'Entrada 7TRAN'!G$8:G$43)</f>
        <v>2017898</v>
      </c>
      <c r="E26" s="43">
        <f>SUMIF('Entrada 7TRAN'!$E$8:$E$43,'Reliquidación 7TRAN'!$B26,'Entrada 7TRAN'!H$8:H$43)</f>
        <v>110826</v>
      </c>
      <c r="F26" s="43">
        <f>SUMIF('Entrada 7TRAN'!$E$8:$E$43,'Reliquidación 7TRAN'!$B26,'Entrada 7TRAN'!I$8:I$43)</f>
        <v>8430</v>
      </c>
      <c r="G26" s="43">
        <f>SUMIF('Entrada 7TRAN'!$E$8:$E$43,'Reliquidación 7TRAN'!$B26,'Entrada 7TRAN'!J$8:J$43)</f>
        <v>2372509.337050715</v>
      </c>
      <c r="H26" s="43">
        <v>567118.62495138217</v>
      </c>
      <c r="I26" s="43">
        <f t="shared" si="0"/>
        <v>568569.19362073485</v>
      </c>
      <c r="J26" s="43">
        <v>0</v>
      </c>
      <c r="K26" s="43">
        <f t="shared" si="3"/>
        <v>0</v>
      </c>
      <c r="L26" s="43">
        <f t="shared" si="1"/>
        <v>2941078.5306714498</v>
      </c>
      <c r="M26" s="43">
        <f t="shared" si="4"/>
        <v>0</v>
      </c>
      <c r="N26" s="43">
        <f t="shared" si="6"/>
        <v>2941078.5306714498</v>
      </c>
      <c r="O26" s="43">
        <f t="shared" si="2"/>
        <v>-2249199.0889348094</v>
      </c>
      <c r="P26" s="43">
        <f t="shared" si="5"/>
        <v>691879.44173664041</v>
      </c>
      <c r="Q26" s="86"/>
    </row>
    <row r="27" spans="2:17" x14ac:dyDescent="0.2">
      <c r="B27" s="42" t="s">
        <v>34</v>
      </c>
      <c r="C27" s="43">
        <f>SUMIF('Entrada 7TRAN'!$E$8:$E$43,'Reliquidación 7TRAN'!$B27,'Entrada 7TRAN'!F$8:F$43)</f>
        <v>1776419</v>
      </c>
      <c r="D27" s="43">
        <f>SUMIF('Entrada 7TRAN'!$E$8:$E$43,'Reliquidación 7TRAN'!$B27,'Entrada 7TRAN'!G$8:G$43)</f>
        <v>5939205</v>
      </c>
      <c r="E27" s="43">
        <f>SUMIF('Entrada 7TRAN'!$E$8:$E$43,'Reliquidación 7TRAN'!$B27,'Entrada 7TRAN'!H$8:H$43)</f>
        <v>400445</v>
      </c>
      <c r="F27" s="43">
        <f>SUMIF('Entrada 7TRAN'!$E$8:$E$43,'Reliquidación 7TRAN'!$B27,'Entrada 7TRAN'!I$8:I$43)</f>
        <v>98438</v>
      </c>
      <c r="G27" s="43">
        <f>SUMIF('Entrada 7TRAN'!$E$8:$E$43,'Reliquidación 7TRAN'!$B27,'Entrada 7TRAN'!J$8:J$43)</f>
        <v>4503755.1474357527</v>
      </c>
      <c r="H27" s="43">
        <v>1241177.8472176772</v>
      </c>
      <c r="I27" s="43">
        <f t="shared" si="0"/>
        <v>1244352.5158303028</v>
      </c>
      <c r="J27" s="43">
        <v>0</v>
      </c>
      <c r="K27" s="43">
        <f t="shared" si="3"/>
        <v>0</v>
      </c>
      <c r="L27" s="43">
        <f t="shared" si="1"/>
        <v>5748107.6632660553</v>
      </c>
      <c r="M27" s="43">
        <f t="shared" si="4"/>
        <v>0</v>
      </c>
      <c r="N27" s="43">
        <f t="shared" si="6"/>
        <v>5748107.6632660553</v>
      </c>
      <c r="O27" s="43">
        <f t="shared" si="2"/>
        <v>-4395883.4776049294</v>
      </c>
      <c r="P27" s="43">
        <f t="shared" si="5"/>
        <v>1352224.1856611259</v>
      </c>
      <c r="Q27" s="86"/>
    </row>
    <row r="28" spans="2:17" x14ac:dyDescent="0.2">
      <c r="B28" s="42" t="s">
        <v>35</v>
      </c>
      <c r="C28" s="43">
        <f>SUMIF('Entrada 7TRAN'!$E$8:$E$43,'Reliquidación 7TRAN'!$B28,'Entrada 7TRAN'!F$8:F$43)</f>
        <v>18146722.66</v>
      </c>
      <c r="D28" s="43">
        <f>SUMIF('Entrada 7TRAN'!$E$8:$E$43,'Reliquidación 7TRAN'!$B28,'Entrada 7TRAN'!G$8:G$43)</f>
        <v>65344272.25</v>
      </c>
      <c r="E28" s="43">
        <f>SUMIF('Entrada 7TRAN'!$E$8:$E$43,'Reliquidación 7TRAN'!$B28,'Entrada 7TRAN'!H$8:H$43)</f>
        <v>283367.23</v>
      </c>
      <c r="F28" s="43">
        <f>SUMIF('Entrada 7TRAN'!$E$8:$E$43,'Reliquidación 7TRAN'!$B28,'Entrada 7TRAN'!I$8:I$43)</f>
        <v>110007.8</v>
      </c>
      <c r="G28" s="43">
        <f>SUMIF('Entrada 7TRAN'!$E$8:$E$43,'Reliquidación 7TRAN'!$B28,'Entrada 7TRAN'!J$8:J$43)</f>
        <v>49360614.970330738</v>
      </c>
      <c r="H28" s="43">
        <v>11755286.770558603</v>
      </c>
      <c r="I28" s="43">
        <f t="shared" si="0"/>
        <v>11785354.290718235</v>
      </c>
      <c r="J28" s="43">
        <v>0</v>
      </c>
      <c r="K28" s="43">
        <f t="shared" si="3"/>
        <v>0</v>
      </c>
      <c r="L28" s="43">
        <f t="shared" si="1"/>
        <v>61145969.261048973</v>
      </c>
      <c r="M28" s="43">
        <f t="shared" si="4"/>
        <v>0</v>
      </c>
      <c r="N28" s="43">
        <f t="shared" si="6"/>
        <v>61145969.261048973</v>
      </c>
      <c r="O28" s="43">
        <f t="shared" si="2"/>
        <v>-46761572.980708264</v>
      </c>
      <c r="P28" s="43">
        <f t="shared" si="5"/>
        <v>14384396.280340709</v>
      </c>
      <c r="Q28" s="86"/>
    </row>
    <row r="29" spans="2:17" x14ac:dyDescent="0.2">
      <c r="B29" s="42" t="s">
        <v>36</v>
      </c>
      <c r="C29" s="43">
        <f>SUMIF('Entrada 7TRAN'!$E$8:$E$43,'Reliquidación 7TRAN'!$B29,'Entrada 7TRAN'!F$8:F$43)</f>
        <v>7623977.3300000001</v>
      </c>
      <c r="D29" s="43">
        <f>SUMIF('Entrada 7TRAN'!$E$8:$E$43,'Reliquidación 7TRAN'!$B29,'Entrada 7TRAN'!G$8:G$43)</f>
        <v>6686820.3399999999</v>
      </c>
      <c r="E29" s="43">
        <f>SUMIF('Entrada 7TRAN'!$E$8:$E$43,'Reliquidación 7TRAN'!$B29,'Entrada 7TRAN'!H$8:H$43)</f>
        <v>128632</v>
      </c>
      <c r="F29" s="43">
        <f>SUMIF('Entrada 7TRAN'!$E$8:$E$43,'Reliquidación 7TRAN'!$B29,'Entrada 7TRAN'!I$8:I$43)</f>
        <v>6261</v>
      </c>
      <c r="G29" s="43">
        <f>SUMIF('Entrada 7TRAN'!$E$8:$E$43,'Reliquidación 7TRAN'!$B29,'Entrada 7TRAN'!J$8:J$43)</f>
        <v>10425629.701840781</v>
      </c>
      <c r="H29" s="43">
        <v>2583982.6155530289</v>
      </c>
      <c r="I29" s="43">
        <f t="shared" si="0"/>
        <v>2590591.8928000852</v>
      </c>
      <c r="J29" s="43">
        <v>0</v>
      </c>
      <c r="K29" s="43">
        <f t="shared" si="3"/>
        <v>0</v>
      </c>
      <c r="L29" s="43">
        <f t="shared" si="1"/>
        <v>13016221.594640866</v>
      </c>
      <c r="M29" s="43">
        <f t="shared" si="4"/>
        <v>0</v>
      </c>
      <c r="N29" s="43">
        <f t="shared" si="6"/>
        <v>13016221.594640866</v>
      </c>
      <c r="O29" s="43">
        <f t="shared" si="2"/>
        <v>-9954196.5461752173</v>
      </c>
      <c r="P29" s="43">
        <f t="shared" si="5"/>
        <v>3062025.0484656487</v>
      </c>
      <c r="Q29" s="86"/>
    </row>
    <row r="30" spans="2:17" x14ac:dyDescent="0.2">
      <c r="B30" s="42" t="s">
        <v>37</v>
      </c>
      <c r="C30" s="43">
        <f>SUMIF('Entrada 7TRAN'!$E$8:$E$43,'Reliquidación 7TRAN'!$B30,'Entrada 7TRAN'!F$8:F$43)</f>
        <v>39086898.990000002</v>
      </c>
      <c r="D30" s="43">
        <f>SUMIF('Entrada 7TRAN'!$E$8:$E$43,'Reliquidación 7TRAN'!$B30,'Entrada 7TRAN'!G$8:G$43)</f>
        <v>116325295.42</v>
      </c>
      <c r="E30" s="43">
        <f>SUMIF('Entrada 7TRAN'!$E$8:$E$43,'Reliquidación 7TRAN'!$B30,'Entrada 7TRAN'!H$8:H$43)</f>
        <v>139457.94</v>
      </c>
      <c r="F30" s="43">
        <f>SUMIF('Entrada 7TRAN'!$E$8:$E$43,'Reliquidación 7TRAN'!$B30,'Entrada 7TRAN'!I$8:I$43)</f>
        <v>133164.53</v>
      </c>
      <c r="G30" s="43">
        <f>SUMIF('Entrada 7TRAN'!$E$8:$E$43,'Reliquidación 7TRAN'!$B30,'Entrada 7TRAN'!J$8:J$43)</f>
        <v>112210910.12629031</v>
      </c>
      <c r="H30" s="43">
        <v>27044749.279153988</v>
      </c>
      <c r="I30" s="43">
        <f t="shared" si="0"/>
        <v>27113923.988375012</v>
      </c>
      <c r="J30" s="43">
        <v>0</v>
      </c>
      <c r="K30" s="43">
        <f t="shared" si="3"/>
        <v>0</v>
      </c>
      <c r="L30" s="43">
        <f t="shared" si="1"/>
        <v>139324834.11466533</v>
      </c>
      <c r="M30" s="43">
        <f t="shared" si="4"/>
        <v>0</v>
      </c>
      <c r="N30" s="43">
        <f t="shared" si="6"/>
        <v>139324834.11466533</v>
      </c>
      <c r="O30" s="43">
        <f t="shared" si="2"/>
        <v>-106549106.62489395</v>
      </c>
      <c r="P30" s="43">
        <f t="shared" si="5"/>
        <v>32775727.489771381</v>
      </c>
      <c r="Q30" s="86"/>
    </row>
    <row r="31" spans="2:17" x14ac:dyDescent="0.2">
      <c r="B31" s="42" t="s">
        <v>38</v>
      </c>
      <c r="C31" s="43">
        <f>SUMIF('Entrada 7TRAN'!$E$8:$E$43,'Reliquidación 7TRAN'!$B31,'Entrada 7TRAN'!F$8:F$43)</f>
        <v>1783537</v>
      </c>
      <c r="D31" s="43">
        <f>SUMIF('Entrada 7TRAN'!$E$8:$E$43,'Reliquidación 7TRAN'!$B31,'Entrada 7TRAN'!G$8:G$43)</f>
        <v>2968035</v>
      </c>
      <c r="E31" s="43">
        <f>SUMIF('Entrada 7TRAN'!$E$8:$E$43,'Reliquidación 7TRAN'!$B31,'Entrada 7TRAN'!H$8:H$43)</f>
        <v>51969</v>
      </c>
      <c r="F31" s="43">
        <f>SUMIF('Entrada 7TRAN'!$E$8:$E$43,'Reliquidación 7TRAN'!$B31,'Entrada 7TRAN'!I$8:I$43)</f>
        <v>12553</v>
      </c>
      <c r="G31" s="43">
        <f>SUMIF('Entrada 7TRAN'!$E$8:$E$43,'Reliquidación 7TRAN'!$B31,'Entrada 7TRAN'!J$8:J$43)</f>
        <v>2819754.8239425779</v>
      </c>
      <c r="H31" s="43">
        <v>685317.88887297548</v>
      </c>
      <c r="I31" s="43">
        <f t="shared" si="0"/>
        <v>687070.78608778876</v>
      </c>
      <c r="J31" s="43">
        <v>0</v>
      </c>
      <c r="K31" s="43">
        <f t="shared" si="3"/>
        <v>0</v>
      </c>
      <c r="L31" s="43">
        <f t="shared" si="1"/>
        <v>3506825.6100303666</v>
      </c>
      <c r="M31" s="43">
        <f t="shared" si="4"/>
        <v>0</v>
      </c>
      <c r="N31" s="43">
        <f t="shared" si="6"/>
        <v>3506825.6100303666</v>
      </c>
      <c r="O31" s="43">
        <f t="shared" si="2"/>
        <v>-2681855.9534800407</v>
      </c>
      <c r="P31" s="43">
        <f t="shared" si="5"/>
        <v>824969.65655032592</v>
      </c>
      <c r="Q31" s="86"/>
    </row>
    <row r="32" spans="2:17" x14ac:dyDescent="0.2">
      <c r="B32" s="42" t="s">
        <v>39</v>
      </c>
      <c r="C32" s="43">
        <f>SUMIF('Entrada 7TRAN'!$E$8:$E$43,'Reliquidación 7TRAN'!$B32,'Entrada 7TRAN'!F$8:F$43)</f>
        <v>36273940.112099998</v>
      </c>
      <c r="D32" s="43">
        <f>SUMIF('Entrada 7TRAN'!$E$8:$E$43,'Reliquidación 7TRAN'!$B32,'Entrada 7TRAN'!G$8:G$43)</f>
        <v>128248876.10401</v>
      </c>
      <c r="E32" s="43">
        <f>SUMIF('Entrada 7TRAN'!$E$8:$E$43,'Reliquidación 7TRAN'!$B32,'Entrada 7TRAN'!H$8:H$43)</f>
        <v>2332269.7999999998</v>
      </c>
      <c r="F32" s="43">
        <f>SUMIF('Entrada 7TRAN'!$E$8:$E$43,'Reliquidación 7TRAN'!$B32,'Entrada 7TRAN'!I$8:I$43)</f>
        <v>716217</v>
      </c>
      <c r="G32" s="43">
        <f>SUMIF('Entrada 7TRAN'!$E$8:$E$43,'Reliquidación 7TRAN'!$B32,'Entrada 7TRAN'!J$8:J$43)</f>
        <v>-114430107.7994339</v>
      </c>
      <c r="H32" s="43">
        <v>0</v>
      </c>
      <c r="I32" s="43">
        <f t="shared" si="0"/>
        <v>0</v>
      </c>
      <c r="J32" s="43">
        <v>0</v>
      </c>
      <c r="K32" s="43">
        <f t="shared" si="3"/>
        <v>0</v>
      </c>
      <c r="L32" s="43">
        <f t="shared" si="1"/>
        <v>-114430107.7994339</v>
      </c>
      <c r="M32" s="43">
        <f t="shared" si="4"/>
        <v>114430107.7994339</v>
      </c>
      <c r="N32" s="43">
        <f t="shared" si="6"/>
        <v>0</v>
      </c>
      <c r="O32" s="43">
        <f t="shared" si="2"/>
        <v>114430107.79943392</v>
      </c>
      <c r="P32" s="43">
        <f t="shared" si="5"/>
        <v>0</v>
      </c>
      <c r="Q32" s="86"/>
    </row>
    <row r="33" spans="2:17" x14ac:dyDescent="0.2">
      <c r="B33" s="42" t="s">
        <v>40</v>
      </c>
      <c r="C33" s="43">
        <f>SUMIF('Entrada 7TRAN'!$E$8:$E$43,'Reliquidación 7TRAN'!$B33,'Entrada 7TRAN'!F$8:F$43)</f>
        <v>1423339.4</v>
      </c>
      <c r="D33" s="43">
        <f>SUMIF('Entrada 7TRAN'!$E$8:$E$43,'Reliquidación 7TRAN'!$B33,'Entrada 7TRAN'!G$8:G$43)</f>
        <v>2691623.3</v>
      </c>
      <c r="E33" s="43">
        <f>SUMIF('Entrada 7TRAN'!$E$8:$E$43,'Reliquidación 7TRAN'!$B33,'Entrada 7TRAN'!H$8:H$43)</f>
        <v>50207</v>
      </c>
      <c r="F33" s="43">
        <f>SUMIF('Entrada 7TRAN'!$E$8:$E$43,'Reliquidación 7TRAN'!$B33,'Entrada 7TRAN'!I$8:I$43)</f>
        <v>95861</v>
      </c>
      <c r="G33" s="43">
        <f>SUMIF('Entrada 7TRAN'!$E$8:$E$43,'Reliquidación 7TRAN'!$B33,'Entrada 7TRAN'!J$8:J$43)</f>
        <v>2828248.6002733121</v>
      </c>
      <c r="H33" s="43">
        <v>562277.00410781894</v>
      </c>
      <c r="I33" s="43">
        <f t="shared" si="0"/>
        <v>563715.18894212274</v>
      </c>
      <c r="J33" s="43">
        <v>0</v>
      </c>
      <c r="K33" s="43">
        <f t="shared" si="3"/>
        <v>0</v>
      </c>
      <c r="L33" s="43">
        <f t="shared" si="1"/>
        <v>3391963.7892154348</v>
      </c>
      <c r="M33" s="43">
        <f t="shared" si="4"/>
        <v>0</v>
      </c>
      <c r="N33" s="43">
        <f t="shared" si="6"/>
        <v>3391963.7892154348</v>
      </c>
      <c r="O33" s="43">
        <f t="shared" si="2"/>
        <v>-2594015.0134860459</v>
      </c>
      <c r="P33" s="43">
        <f t="shared" si="5"/>
        <v>797948.77572938893</v>
      </c>
      <c r="Q33" s="86"/>
    </row>
    <row r="34" spans="2:17" x14ac:dyDescent="0.2">
      <c r="B34" s="42" t="s">
        <v>41</v>
      </c>
      <c r="C34" s="43">
        <f>SUMIF('Entrada 7TRAN'!$E$8:$E$43,'Reliquidación 7TRAN'!$B34,'Entrada 7TRAN'!F$8:F$43)</f>
        <v>1276707</v>
      </c>
      <c r="D34" s="43">
        <f>SUMIF('Entrada 7TRAN'!$E$8:$E$43,'Reliquidación 7TRAN'!$B34,'Entrada 7TRAN'!G$8:G$43)</f>
        <v>8790443.6421000008</v>
      </c>
      <c r="E34" s="43">
        <f>SUMIF('Entrada 7TRAN'!$E$8:$E$43,'Reliquidación 7TRAN'!$B34,'Entrada 7TRAN'!H$8:H$43)</f>
        <v>6255</v>
      </c>
      <c r="F34" s="43">
        <f>SUMIF('Entrada 7TRAN'!$E$8:$E$43,'Reliquidación 7TRAN'!$B34,'Entrada 7TRAN'!I$8:I$43)</f>
        <v>42218</v>
      </c>
      <c r="G34" s="43">
        <f>SUMIF('Entrada 7TRAN'!$E$8:$E$43,'Reliquidación 7TRAN'!$B34,'Entrada 7TRAN'!J$8:J$43)</f>
        <v>6870242.2938767904</v>
      </c>
      <c r="H34" s="43">
        <v>1858345.2203810392</v>
      </c>
      <c r="I34" s="43">
        <f t="shared" si="0"/>
        <v>1863098.4717025897</v>
      </c>
      <c r="J34" s="43">
        <v>0</v>
      </c>
      <c r="K34" s="43">
        <f t="shared" si="3"/>
        <v>0</v>
      </c>
      <c r="L34" s="43">
        <f t="shared" si="1"/>
        <v>8733340.7655793801</v>
      </c>
      <c r="M34" s="43">
        <f t="shared" si="4"/>
        <v>0</v>
      </c>
      <c r="N34" s="43">
        <f t="shared" si="6"/>
        <v>8733340.7655793801</v>
      </c>
      <c r="O34" s="43">
        <f t="shared" si="2"/>
        <v>-6678849.914563098</v>
      </c>
      <c r="P34" s="43">
        <f t="shared" si="5"/>
        <v>2054490.8510162821</v>
      </c>
      <c r="Q34" s="86"/>
    </row>
    <row r="35" spans="2:17" x14ac:dyDescent="0.2">
      <c r="B35" s="42" t="s">
        <v>42</v>
      </c>
      <c r="C35" s="43">
        <f>SUMIF('Entrada 7TRAN'!$E$8:$E$43,'Reliquidación 7TRAN'!$B35,'Entrada 7TRAN'!F$8:F$43)</f>
        <v>4811501.0999999996</v>
      </c>
      <c r="D35" s="43">
        <f>SUMIF('Entrada 7TRAN'!$E$8:$E$43,'Reliquidación 7TRAN'!$B35,'Entrada 7TRAN'!G$8:G$43)</f>
        <v>5595383.0766000003</v>
      </c>
      <c r="E35" s="43">
        <f>SUMIF('Entrada 7TRAN'!$E$8:$E$43,'Reliquidación 7TRAN'!$B35,'Entrada 7TRAN'!H$8:H$43)</f>
        <v>350281.9</v>
      </c>
      <c r="F35" s="43">
        <f>SUMIF('Entrada 7TRAN'!$E$8:$E$43,'Reliquidación 7TRAN'!$B35,'Entrada 7TRAN'!I$8:I$43)</f>
        <v>32102.6001</v>
      </c>
      <c r="G35" s="43">
        <f>SUMIF('Entrada 7TRAN'!$E$8:$E$43,'Reliquidación 7TRAN'!$B35,'Entrada 7TRAN'!J$8:J$43)</f>
        <v>5847989.6100713834</v>
      </c>
      <c r="H35" s="43">
        <v>1202048.113886239</v>
      </c>
      <c r="I35" s="43">
        <f t="shared" si="0"/>
        <v>1205122.6969740496</v>
      </c>
      <c r="J35" s="43">
        <v>0</v>
      </c>
      <c r="K35" s="43">
        <f t="shared" si="3"/>
        <v>0</v>
      </c>
      <c r="L35" s="43">
        <f t="shared" si="1"/>
        <v>7053112.3070454327</v>
      </c>
      <c r="M35" s="43">
        <f t="shared" si="4"/>
        <v>0</v>
      </c>
      <c r="N35" s="43">
        <f t="shared" si="6"/>
        <v>7053112.3070454327</v>
      </c>
      <c r="O35" s="43">
        <f t="shared" si="2"/>
        <v>-5393889.8977783341</v>
      </c>
      <c r="P35" s="43">
        <f t="shared" si="5"/>
        <v>1659222.4092670986</v>
      </c>
      <c r="Q35" s="86"/>
    </row>
    <row r="36" spans="2:17" x14ac:dyDescent="0.2">
      <c r="B36" s="42" t="s">
        <v>43</v>
      </c>
      <c r="C36" s="43">
        <f>SUMIF('Entrada 7TRAN'!$E$8:$E$43,'Reliquidación 7TRAN'!$B36,'Entrada 7TRAN'!F$8:F$43)</f>
        <v>4149649.6000999999</v>
      </c>
      <c r="D36" s="43">
        <f>SUMIF('Entrada 7TRAN'!$E$8:$E$43,'Reliquidación 7TRAN'!$B36,'Entrada 7TRAN'!G$8:G$43)</f>
        <v>4140508.7782999999</v>
      </c>
      <c r="E36" s="43">
        <f>SUMIF('Entrada 7TRAN'!$E$8:$E$43,'Reliquidación 7TRAN'!$B36,'Entrada 7TRAN'!H$8:H$43)</f>
        <v>399746</v>
      </c>
      <c r="F36" s="43">
        <f>SUMIF('Entrada 7TRAN'!$E$8:$E$43,'Reliquidación 7TRAN'!$B36,'Entrada 7TRAN'!I$8:I$43)</f>
        <v>76905.2</v>
      </c>
      <c r="G36" s="43">
        <f>SUMIF('Entrada 7TRAN'!$E$8:$E$43,'Reliquidación 7TRAN'!$B36,'Entrada 7TRAN'!J$8:J$43)</f>
        <v>4740466.8952571107</v>
      </c>
      <c r="H36" s="43">
        <v>874442.88283356559</v>
      </c>
      <c r="I36" s="43">
        <f t="shared" si="0"/>
        <v>876679.52150697459</v>
      </c>
      <c r="J36" s="43">
        <v>0</v>
      </c>
      <c r="K36" s="43">
        <f t="shared" si="3"/>
        <v>0</v>
      </c>
      <c r="L36" s="43">
        <f t="shared" si="1"/>
        <v>5617146.4167640852</v>
      </c>
      <c r="M36" s="43">
        <f t="shared" si="4"/>
        <v>0</v>
      </c>
      <c r="N36" s="43">
        <f t="shared" si="6"/>
        <v>5617146.4167640852</v>
      </c>
      <c r="O36" s="43">
        <f t="shared" si="2"/>
        <v>-4295730.4510039194</v>
      </c>
      <c r="P36" s="43">
        <f t="shared" si="5"/>
        <v>1321415.9657601658</v>
      </c>
      <c r="Q36" s="86"/>
    </row>
    <row r="37" spans="2:17" x14ac:dyDescent="0.2">
      <c r="B37" s="42" t="s">
        <v>45</v>
      </c>
      <c r="C37" s="43">
        <f>SUMIF('Entrada 7TRAN'!$E$8:$E$43,'Reliquidación 7TRAN'!$B37,'Entrada 7TRAN'!F$8:F$43)</f>
        <v>615895</v>
      </c>
      <c r="D37" s="43">
        <f>SUMIF('Entrada 7TRAN'!$E$8:$E$43,'Reliquidación 7TRAN'!$B37,'Entrada 7TRAN'!G$8:G$43)</f>
        <v>789659</v>
      </c>
      <c r="E37" s="43">
        <f>SUMIF('Entrada 7TRAN'!$E$8:$E$43,'Reliquidación 7TRAN'!$B37,'Entrada 7TRAN'!H$8:H$43)</f>
        <v>56693</v>
      </c>
      <c r="F37" s="43">
        <f>SUMIF('Entrada 7TRAN'!$E$8:$E$43,'Reliquidación 7TRAN'!$B37,'Entrada 7TRAN'!I$8:I$43)</f>
        <v>12236</v>
      </c>
      <c r="G37" s="43">
        <f>SUMIF('Entrada 7TRAN'!$E$8:$E$43,'Reliquidación 7TRAN'!$B37,'Entrada 7TRAN'!J$8:J$43)</f>
        <v>1000027.944134542</v>
      </c>
      <c r="H37" s="43">
        <v>203764.5480609251</v>
      </c>
      <c r="I37" s="43">
        <f t="shared" si="0"/>
        <v>204285.73438127796</v>
      </c>
      <c r="J37" s="43">
        <v>0</v>
      </c>
      <c r="K37" s="43">
        <f t="shared" si="3"/>
        <v>0</v>
      </c>
      <c r="L37" s="43">
        <f t="shared" si="1"/>
        <v>1204313.6785158201</v>
      </c>
      <c r="M37" s="43">
        <f t="shared" si="4"/>
        <v>0</v>
      </c>
      <c r="N37" s="43">
        <f t="shared" si="6"/>
        <v>1204313.6785158201</v>
      </c>
      <c r="O37" s="43">
        <f t="shared" si="2"/>
        <v>-921002.68668824178</v>
      </c>
      <c r="P37" s="43">
        <f t="shared" si="5"/>
        <v>283310.99182757828</v>
      </c>
      <c r="Q37" s="86"/>
    </row>
    <row r="38" spans="2:17" x14ac:dyDescent="0.2">
      <c r="B38" s="42" t="s">
        <v>46</v>
      </c>
      <c r="C38" s="43">
        <f>SUMIF('Entrada 7TRAN'!$E$8:$E$43,'Reliquidación 7TRAN'!$B38,'Entrada 7TRAN'!F$8:F$43)</f>
        <v>4020505.8080000002</v>
      </c>
      <c r="D38" s="43">
        <f>SUMIF('Entrada 7TRAN'!$E$8:$E$43,'Reliquidación 7TRAN'!$B38,'Entrada 7TRAN'!G$8:G$43)</f>
        <v>17385830.765000001</v>
      </c>
      <c r="E38" s="43">
        <f>SUMIF('Entrada 7TRAN'!$E$8:$E$43,'Reliquidación 7TRAN'!$B38,'Entrada 7TRAN'!H$8:H$43)</f>
        <v>11442.5</v>
      </c>
      <c r="F38" s="43">
        <f>SUMIF('Entrada 7TRAN'!$E$8:$E$43,'Reliquidación 7TRAN'!$B38,'Entrada 7TRAN'!I$8:I$43)</f>
        <v>28832.008999999998</v>
      </c>
      <c r="G38" s="43">
        <f>SUMIF('Entrada 7TRAN'!$E$8:$E$43,'Reliquidación 7TRAN'!$B38,'Entrada 7TRAN'!J$8:J$43)</f>
        <v>16858800.866111599</v>
      </c>
      <c r="H38" s="43">
        <v>3741094.807650229</v>
      </c>
      <c r="I38" s="43">
        <f t="shared" si="0"/>
        <v>3750663.7314666891</v>
      </c>
      <c r="J38" s="43">
        <v>0</v>
      </c>
      <c r="K38" s="43">
        <f t="shared" si="3"/>
        <v>0</v>
      </c>
      <c r="L38" s="43">
        <f t="shared" si="1"/>
        <v>20609464.597578287</v>
      </c>
      <c r="M38" s="43">
        <f>IF(L38&lt;0,-L38,0)</f>
        <v>0</v>
      </c>
      <c r="N38" s="43">
        <f>IF(L38&gt;0,L38,0)</f>
        <v>20609464.597578287</v>
      </c>
      <c r="O38" s="43">
        <f t="shared" si="2"/>
        <v>-15761153.098392267</v>
      </c>
      <c r="P38" s="43">
        <f t="shared" si="5"/>
        <v>4848311.4991860203</v>
      </c>
      <c r="Q38" s="86"/>
    </row>
    <row r="39" spans="2:17" x14ac:dyDescent="0.2">
      <c r="B39" s="42" t="s">
        <v>47</v>
      </c>
      <c r="C39" s="43">
        <f>SUMIF('Entrada 7TRAN'!$E$8:$E$43,'Reliquidación 7TRAN'!$B39,'Entrada 7TRAN'!F$8:F$43)</f>
        <v>5415989.6499999994</v>
      </c>
      <c r="D39" s="43">
        <f>SUMIF('Entrada 7TRAN'!$E$8:$E$43,'Reliquidación 7TRAN'!$B39,'Entrada 7TRAN'!G$8:G$43)</f>
        <v>26615885.381000001</v>
      </c>
      <c r="E39" s="43">
        <f>SUMIF('Entrada 7TRAN'!$E$8:$E$43,'Reliquidación 7TRAN'!$B39,'Entrada 7TRAN'!H$8:H$43)</f>
        <v>22564.501</v>
      </c>
      <c r="F39" s="43">
        <f>SUMIF('Entrada 7TRAN'!$E$8:$E$43,'Reliquidación 7TRAN'!$B39,'Entrada 7TRAN'!I$8:I$43)</f>
        <v>23740.393</v>
      </c>
      <c r="G39" s="43">
        <f>SUMIF('Entrada 7TRAN'!$E$8:$E$43,'Reliquidación 7TRAN'!$B39,'Entrada 7TRAN'!J$8:J$43)</f>
        <v>23919567.285847891</v>
      </c>
      <c r="H39" s="43">
        <v>5487824.7756729946</v>
      </c>
      <c r="I39" s="43">
        <f t="shared" si="0"/>
        <v>5501861.4627649961</v>
      </c>
      <c r="J39" s="43">
        <v>0</v>
      </c>
      <c r="K39" s="43">
        <f t="shared" si="3"/>
        <v>0</v>
      </c>
      <c r="L39" s="43">
        <f t="shared" si="1"/>
        <v>29421428.748612888</v>
      </c>
      <c r="M39" s="43">
        <f t="shared" si="4"/>
        <v>0</v>
      </c>
      <c r="N39" s="43">
        <f t="shared" si="6"/>
        <v>29421428.748612888</v>
      </c>
      <c r="O39" s="43">
        <f t="shared" si="2"/>
        <v>-22500130.495132618</v>
      </c>
      <c r="P39" s="43">
        <f t="shared" si="5"/>
        <v>6921298.2534802705</v>
      </c>
      <c r="Q39" s="86"/>
    </row>
    <row r="40" spans="2:17" x14ac:dyDescent="0.2">
      <c r="B40" s="42" t="s">
        <v>48</v>
      </c>
      <c r="C40" s="43">
        <f>SUMIF('Entrada 7TRAN'!$E$8:$E$43,'Reliquidación 7TRAN'!$B40,'Entrada 7TRAN'!F$8:F$43)</f>
        <v>12467732.339</v>
      </c>
      <c r="D40" s="43">
        <f>SUMIF('Entrada 7TRAN'!$E$8:$E$43,'Reliquidación 7TRAN'!$B40,'Entrada 7TRAN'!G$8:G$43)</f>
        <v>48478175.480999999</v>
      </c>
      <c r="E40" s="43">
        <f>SUMIF('Entrada 7TRAN'!$E$8:$E$43,'Reliquidación 7TRAN'!$B40,'Entrada 7TRAN'!H$8:H$43)</f>
        <v>38307.54</v>
      </c>
      <c r="F40" s="43">
        <f>SUMIF('Entrada 7TRAN'!$E$8:$E$43,'Reliquidación 7TRAN'!$B40,'Entrada 7TRAN'!I$8:I$43)</f>
        <v>77095.680999999997</v>
      </c>
      <c r="G40" s="43">
        <f>SUMIF('Entrada 7TRAN'!$E$8:$E$43,'Reliquidación 7TRAN'!$B40,'Entrada 7TRAN'!J$8:J$43)</f>
        <v>-99869391.458855733</v>
      </c>
      <c r="H40" s="43">
        <v>0</v>
      </c>
      <c r="I40" s="43">
        <f t="shared" si="0"/>
        <v>0</v>
      </c>
      <c r="J40" s="43">
        <v>0</v>
      </c>
      <c r="K40" s="43">
        <f t="shared" si="3"/>
        <v>0</v>
      </c>
      <c r="L40" s="43">
        <f t="shared" si="1"/>
        <v>-99869391.458855733</v>
      </c>
      <c r="M40" s="43">
        <f t="shared" si="4"/>
        <v>99869391.458855733</v>
      </c>
      <c r="N40" s="43">
        <f t="shared" si="6"/>
        <v>0</v>
      </c>
      <c r="O40" s="43">
        <f t="shared" si="2"/>
        <v>99869391.458855733</v>
      </c>
      <c r="P40" s="43">
        <f t="shared" si="5"/>
        <v>0</v>
      </c>
      <c r="Q40" s="86"/>
    </row>
    <row r="41" spans="2:17" x14ac:dyDescent="0.2">
      <c r="B41" s="42" t="s">
        <v>49</v>
      </c>
      <c r="C41" s="43">
        <f>SUMIF('Entrada 7TRAN'!$E$8:$E$43,'Reliquidación 7TRAN'!$B41,'Entrada 7TRAN'!F$8:F$43)</f>
        <v>0</v>
      </c>
      <c r="D41" s="43">
        <f>SUMIF('Entrada 7TRAN'!$E$8:$E$43,'Reliquidación 7TRAN'!$B41,'Entrada 7TRAN'!G$8:G$43)</f>
        <v>0</v>
      </c>
      <c r="E41" s="43">
        <f>SUMIF('Entrada 7TRAN'!$E$8:$E$43,'Reliquidación 7TRAN'!$B41,'Entrada 7TRAN'!H$8:H$43)</f>
        <v>0</v>
      </c>
      <c r="F41" s="43">
        <f>SUMIF('Entrada 7TRAN'!$E$8:$E$43,'Reliquidación 7TRAN'!$B41,'Entrada 7TRAN'!I$8:I$43)</f>
        <v>0</v>
      </c>
      <c r="G41" s="43">
        <f>SUMIF('Entrada 7TRAN'!$E$8:$E$43,'Reliquidación 7TRAN'!$B41,'Entrada 7TRAN'!J$8:J$43)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3"/>
        <v>0</v>
      </c>
      <c r="L41" s="43">
        <f t="shared" si="1"/>
        <v>0</v>
      </c>
      <c r="M41" s="43">
        <f>IF(L41&lt;0,-L41,0)</f>
        <v>0</v>
      </c>
      <c r="N41" s="43">
        <f>IF(L41&gt;0,L41,0)</f>
        <v>0</v>
      </c>
      <c r="O41" s="43">
        <f t="shared" si="2"/>
        <v>0</v>
      </c>
      <c r="P41" s="43">
        <f>L41+O41</f>
        <v>0</v>
      </c>
      <c r="Q41" s="86"/>
    </row>
    <row r="42" spans="2:17" x14ac:dyDescent="0.2">
      <c r="B42" s="42" t="s">
        <v>50</v>
      </c>
      <c r="C42" s="43">
        <f>SUMIF('Entrada 7TRAN'!$E$8:$E$43,'Reliquidación 7TRAN'!$B42,'Entrada 7TRAN'!F$8:F$43)</f>
        <v>0</v>
      </c>
      <c r="D42" s="43">
        <f>SUMIF('Entrada 7TRAN'!$E$8:$E$43,'Reliquidación 7TRAN'!$B42,'Entrada 7TRAN'!G$8:G$43)</f>
        <v>7376</v>
      </c>
      <c r="E42" s="43">
        <f>SUMIF('Entrada 7TRAN'!$E$8:$E$43,'Reliquidación 7TRAN'!$B42,'Entrada 7TRAN'!H$8:H$43)</f>
        <v>0</v>
      </c>
      <c r="F42" s="43">
        <f>SUMIF('Entrada 7TRAN'!$E$8:$E$43,'Reliquidación 7TRAN'!$B42,'Entrada 7TRAN'!I$8:I$43)</f>
        <v>0</v>
      </c>
      <c r="G42" s="43">
        <f>SUMIF('Entrada 7TRAN'!$E$8:$E$43,'Reliquidación 7TRAN'!$B42,'Entrada 7TRAN'!J$8:J$43)</f>
        <v>8206.4236407999997</v>
      </c>
      <c r="H42" s="43">
        <v>1732.2309207149929</v>
      </c>
      <c r="I42" s="43">
        <f t="shared" si="0"/>
        <v>1736.66159851523</v>
      </c>
      <c r="J42" s="43">
        <v>7308.6855178306378</v>
      </c>
      <c r="K42" s="43">
        <f t="shared" si="3"/>
        <v>7327.3795789315682</v>
      </c>
      <c r="L42" s="43">
        <f t="shared" si="1"/>
        <v>9943.085239315229</v>
      </c>
      <c r="M42" s="43">
        <f>IF(L42&lt;0,-L42,0)</f>
        <v>0</v>
      </c>
      <c r="N42" s="43">
        <f>IF(L42&gt;0,L42,0)</f>
        <v>9943.085239315229</v>
      </c>
      <c r="O42" s="43">
        <f t="shared" si="2"/>
        <v>-7604.0058190364807</v>
      </c>
      <c r="P42" s="43">
        <f>L42+O42</f>
        <v>2339.0794202787483</v>
      </c>
      <c r="Q42" s="86"/>
    </row>
    <row r="43" spans="2:17" x14ac:dyDescent="0.2">
      <c r="B43" s="44" t="s">
        <v>51</v>
      </c>
      <c r="C43" s="45">
        <f>SUMIF('Entrada 7TRAN'!$E$8:$E$43,'Reliquidación 7TRAN'!$B43,'Entrada 7TRAN'!F$8:F$43)</f>
        <v>30000.9</v>
      </c>
      <c r="D43" s="45">
        <f>SUMIF('Entrada 7TRAN'!$E$8:$E$43,'Reliquidación 7TRAN'!$B43,'Entrada 7TRAN'!G$8:G$43)</f>
        <v>49706.2</v>
      </c>
      <c r="E43" s="45">
        <f>SUMIF('Entrada 7TRAN'!$E$8:$E$43,'Reliquidación 7TRAN'!$B43,'Entrada 7TRAN'!H$8:H$43)</f>
        <v>0</v>
      </c>
      <c r="F43" s="45">
        <f>SUMIF('Entrada 7TRAN'!$E$8:$E$43,'Reliquidación 7TRAN'!$B43,'Entrada 7TRAN'!I$8:I$43)</f>
        <v>0</v>
      </c>
      <c r="G43" s="45">
        <f>SUMIF('Entrada 7TRAN'!$E$8:$E$43,'Reliquidación 7TRAN'!$B43,'Entrada 7TRAN'!J$8:J$43)</f>
        <v>-2077724.0790498359</v>
      </c>
      <c r="H43" s="45">
        <v>0</v>
      </c>
      <c r="I43" s="45">
        <f t="shared" si="0"/>
        <v>0</v>
      </c>
      <c r="J43" s="45">
        <v>0</v>
      </c>
      <c r="K43" s="45">
        <f t="shared" si="3"/>
        <v>0</v>
      </c>
      <c r="L43" s="45">
        <f t="shared" si="1"/>
        <v>-2077724.0790498359</v>
      </c>
      <c r="M43" s="45">
        <f t="shared" si="4"/>
        <v>2077724.0790498359</v>
      </c>
      <c r="N43" s="45">
        <f t="shared" si="6"/>
        <v>0</v>
      </c>
      <c r="O43" s="45">
        <f>IF(OR($M$44=0,$N$44=0),0,((M43/$M$44-N43/$N$44)*$N$49))</f>
        <v>2077724.0790498359</v>
      </c>
      <c r="P43" s="45">
        <f t="shared" si="5"/>
        <v>0</v>
      </c>
      <c r="Q43" s="86"/>
    </row>
    <row r="44" spans="2:17" x14ac:dyDescent="0.2">
      <c r="B44" s="46" t="s">
        <v>66</v>
      </c>
      <c r="C44" s="16">
        <f t="shared" ref="C44:O44" si="7">SUM(C9:C43)</f>
        <v>456949536.07419991</v>
      </c>
      <c r="D44" s="16">
        <f t="shared" si="7"/>
        <v>1620563581.3066113</v>
      </c>
      <c r="E44" s="16">
        <f t="shared" si="7"/>
        <v>12772706.318999998</v>
      </c>
      <c r="F44" s="16">
        <f t="shared" si="7"/>
        <v>4990482.6930999998</v>
      </c>
      <c r="G44" s="16">
        <f t="shared" si="7"/>
        <v>44962792.173805766</v>
      </c>
      <c r="H44" s="16">
        <f>SUM(H9:H43)</f>
        <v>192203203.05591196</v>
      </c>
      <c r="I44" s="16">
        <f>SUM(I9:I43)</f>
        <v>192694817.91783968</v>
      </c>
      <c r="J44" s="16">
        <f t="shared" ref="J44:K44" si="8">SUM(J9:J43)</f>
        <v>7308.6855178306378</v>
      </c>
      <c r="K44" s="16">
        <f t="shared" si="8"/>
        <v>7327.3795789315682</v>
      </c>
      <c r="L44" s="16">
        <f>SUM(L9:L43)</f>
        <v>237657610.09164551</v>
      </c>
      <c r="M44" s="16">
        <f t="shared" si="7"/>
        <v>772590205.53471327</v>
      </c>
      <c r="N44" s="16">
        <f t="shared" si="7"/>
        <v>1010247815.6263589</v>
      </c>
      <c r="O44" s="16">
        <f t="shared" si="7"/>
        <v>1.6042031347751617E-7</v>
      </c>
      <c r="P44" s="16">
        <f>SUM(P9:P43)</f>
        <v>237657610.09164554</v>
      </c>
    </row>
    <row r="45" spans="2:17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58"/>
      <c r="I47" s="17"/>
      <c r="J47" s="17"/>
      <c r="K47" s="17"/>
      <c r="L47" s="17"/>
      <c r="M47" s="7" t="s">
        <v>92</v>
      </c>
      <c r="N47" s="53">
        <f>N44</f>
        <v>1010247815.6263589</v>
      </c>
      <c r="O47"/>
    </row>
    <row r="48" spans="2:17" x14ac:dyDescent="0.2">
      <c r="B48"/>
      <c r="C48"/>
      <c r="H48" s="52"/>
      <c r="I48" s="17"/>
      <c r="J48" s="17"/>
      <c r="K48" s="17"/>
      <c r="L48" s="17"/>
      <c r="M48" s="7" t="s">
        <v>93</v>
      </c>
      <c r="N48" s="53">
        <f>M44</f>
        <v>772590205.53471327</v>
      </c>
      <c r="O48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772590205.53471327</v>
      </c>
      <c r="O49"/>
      <c r="P49" s="54"/>
    </row>
    <row r="50" spans="2:16" x14ac:dyDescent="0.2">
      <c r="M50" s="17"/>
      <c r="N50"/>
    </row>
    <row r="51" spans="2:16" x14ac:dyDescent="0.2">
      <c r="G51" s="54"/>
      <c r="H51" s="54"/>
    </row>
    <row r="52" spans="2:16" x14ac:dyDescent="0.2">
      <c r="H52" s="11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1CC5-2783-413B-BEA9-0F5BB5E5BFAC}">
  <sheetPr codeName="Hoja3">
    <tabColor theme="7" tint="0.79998168889431442"/>
  </sheetPr>
  <dimension ref="A2:N91"/>
  <sheetViews>
    <sheetView zoomScale="70" zoomScaleNormal="70" workbookViewId="0"/>
  </sheetViews>
  <sheetFormatPr baseColWidth="10" defaultColWidth="11.42578125" defaultRowHeight="12.75" x14ac:dyDescent="0.2"/>
  <cols>
    <col min="1" max="1" width="9.140625" style="87" customWidth="1"/>
    <col min="2" max="2" width="23.85546875" style="87" customWidth="1"/>
    <col min="3" max="3" width="17" style="87" customWidth="1"/>
    <col min="4" max="4" width="16.140625" style="87" customWidth="1"/>
    <col min="5" max="5" width="20.5703125" style="87" customWidth="1"/>
    <col min="6" max="6" width="15.7109375" style="87" customWidth="1"/>
    <col min="7" max="7" width="9.85546875" style="87" customWidth="1"/>
    <col min="8" max="8" width="13.5703125" style="87" customWidth="1"/>
    <col min="9" max="9" width="13.7109375" style="87" customWidth="1"/>
    <col min="10" max="10" width="14" style="87" bestFit="1" customWidth="1"/>
    <col min="11" max="15" width="10.85546875" style="87" customWidth="1"/>
    <col min="16" max="16" width="13.28515625" style="87" bestFit="1" customWidth="1"/>
    <col min="17" max="17" width="15.85546875" style="87" bestFit="1" customWidth="1"/>
    <col min="18" max="18" width="17" style="87" bestFit="1" customWidth="1"/>
    <col min="19" max="19" width="17.85546875" style="87" customWidth="1"/>
    <col min="20" max="16384" width="11.42578125" style="87"/>
  </cols>
  <sheetData>
    <row r="2" spans="1:9" x14ac:dyDescent="0.2">
      <c r="B2" s="88" t="s">
        <v>98</v>
      </c>
      <c r="C2" s="88"/>
      <c r="D2" s="88"/>
      <c r="E2" s="88"/>
      <c r="F2" s="88"/>
      <c r="G2" s="88"/>
      <c r="I2" s="50" t="s">
        <v>95</v>
      </c>
    </row>
    <row r="3" spans="1:9" x14ac:dyDescent="0.2">
      <c r="B3" s="89">
        <f>FechaFacturacion</f>
        <v>45597</v>
      </c>
      <c r="C3" s="90"/>
      <c r="D3" s="90"/>
      <c r="E3" s="90"/>
      <c r="F3" s="90"/>
      <c r="G3" s="90"/>
    </row>
    <row r="6" spans="1:9" ht="12.75" customHeight="1" x14ac:dyDescent="0.2">
      <c r="B6" s="91" t="s">
        <v>6</v>
      </c>
      <c r="C6" s="92" t="s">
        <v>78</v>
      </c>
      <c r="E6" s="91" t="s">
        <v>6</v>
      </c>
      <c r="F6" s="92" t="s">
        <v>80</v>
      </c>
      <c r="H6" s="91" t="s">
        <v>81</v>
      </c>
      <c r="I6" s="93" cm="1">
        <f t="array" ref="I6">SUMPRODUCT(($F$8:$F$32&gt;0)*($F$8:$F$32))</f>
        <v>715412152.20775902</v>
      </c>
    </row>
    <row r="7" spans="1:9" ht="27" customHeight="1" x14ac:dyDescent="0.2">
      <c r="B7" s="91"/>
      <c r="C7" s="94"/>
      <c r="E7" s="91"/>
      <c r="F7" s="94"/>
      <c r="H7" s="91"/>
      <c r="I7" s="93"/>
    </row>
    <row r="8" spans="1:9" x14ac:dyDescent="0.2">
      <c r="B8" s="95" t="s">
        <v>14</v>
      </c>
      <c r="C8" s="96">
        <f>'Reliquidación 7TRAN'!O9</f>
        <v>-3421918.2051495202</v>
      </c>
      <c r="D8" s="97"/>
      <c r="E8" s="95" t="s">
        <v>14</v>
      </c>
      <c r="F8" s="98">
        <f>VLOOKUP(E8,$B$8:$C$42,2,0)</f>
        <v>-3421918.2051495202</v>
      </c>
      <c r="G8" s="99"/>
      <c r="I8" s="50"/>
    </row>
    <row r="9" spans="1:9" x14ac:dyDescent="0.2">
      <c r="B9" s="100" t="s">
        <v>15</v>
      </c>
      <c r="C9" s="98">
        <f>'Reliquidación 7TRAN'!O10</f>
        <v>-2480598.584716382</v>
      </c>
      <c r="D9" s="97"/>
      <c r="E9" s="100" t="s">
        <v>15</v>
      </c>
      <c r="F9" s="98">
        <f>VLOOKUP(E9,$B$8:$C$42,2,0)</f>
        <v>-2480598.584716382</v>
      </c>
      <c r="G9" s="99"/>
      <c r="I9" s="50"/>
    </row>
    <row r="10" spans="1:9" x14ac:dyDescent="0.2">
      <c r="B10" s="100" t="s">
        <v>16</v>
      </c>
      <c r="C10" s="98">
        <f>'Reliquidación 7TRAN'!O11</f>
        <v>-5857613.9737525536</v>
      </c>
      <c r="D10" s="97"/>
      <c r="E10" s="100" t="s">
        <v>16</v>
      </c>
      <c r="F10" s="98">
        <f>VLOOKUP(E10,$B$8:$C$42,2,0)</f>
        <v>-5857613.9737525536</v>
      </c>
      <c r="G10" s="99"/>
      <c r="I10" s="50"/>
    </row>
    <row r="11" spans="1:9" x14ac:dyDescent="0.2">
      <c r="B11" s="100" t="s">
        <v>17</v>
      </c>
      <c r="C11" s="98">
        <f>'Reliquidación 7TRAN'!O12</f>
        <v>-1527535.5167346157</v>
      </c>
      <c r="D11" s="97"/>
      <c r="E11" s="100" t="s">
        <v>17</v>
      </c>
      <c r="F11" s="98">
        <f>VLOOKUP(E11,$B$8:$C$42,2,0)</f>
        <v>-1527535.5167346157</v>
      </c>
      <c r="G11" s="99"/>
      <c r="H11" s="50"/>
      <c r="I11" s="50"/>
    </row>
    <row r="12" spans="1:9" x14ac:dyDescent="0.2">
      <c r="B12" s="100" t="s">
        <v>18</v>
      </c>
      <c r="C12" s="98">
        <f>'Reliquidación 7TRAN'!O13</f>
        <v>486040788.48744494</v>
      </c>
      <c r="D12" s="97"/>
      <c r="E12" s="100" t="s">
        <v>82</v>
      </c>
      <c r="F12" s="98">
        <f>C12+C13+C14+C15+C16+C18+C19+C20+C37+C38+C39</f>
        <v>598904320.32927525</v>
      </c>
      <c r="G12" s="99"/>
      <c r="H12" s="50"/>
      <c r="I12" s="50"/>
    </row>
    <row r="13" spans="1:9" x14ac:dyDescent="0.2">
      <c r="B13" s="100" t="s">
        <v>20</v>
      </c>
      <c r="C13" s="98">
        <f>'Reliquidación 7TRAN'!O14</f>
        <v>-585619.01686161116</v>
      </c>
      <c r="D13" s="97"/>
      <c r="E13" s="100" t="s">
        <v>83</v>
      </c>
      <c r="F13" s="98">
        <f>C17</f>
        <v>-478291464.51589555</v>
      </c>
      <c r="G13" s="99"/>
      <c r="H13" s="50"/>
      <c r="I13" s="50"/>
    </row>
    <row r="14" spans="1:9" x14ac:dyDescent="0.2">
      <c r="B14" s="100" t="s">
        <v>21</v>
      </c>
      <c r="C14" s="98">
        <f>'Reliquidación 7TRAN'!O15</f>
        <v>13889775.642939899</v>
      </c>
      <c r="D14" s="97"/>
      <c r="E14" s="100" t="s">
        <v>29</v>
      </c>
      <c r="F14" s="98">
        <f t="shared" ref="F14:F32" si="0">VLOOKUP(E14,$B$8:$C$42,2,0)</f>
        <v>-6659151.6369528603</v>
      </c>
      <c r="G14" s="99"/>
      <c r="H14" s="50"/>
      <c r="I14" s="50"/>
    </row>
    <row r="15" spans="1:9" x14ac:dyDescent="0.2">
      <c r="B15" s="100" t="s">
        <v>22</v>
      </c>
      <c r="C15" s="98">
        <f>'Reliquidación 7TRAN'!O16</f>
        <v>0</v>
      </c>
      <c r="D15" s="97"/>
      <c r="E15" s="100" t="s">
        <v>30</v>
      </c>
      <c r="F15" s="98">
        <f t="shared" si="0"/>
        <v>-12196002.190181963</v>
      </c>
      <c r="G15" s="99"/>
      <c r="H15" s="50"/>
      <c r="I15" s="50"/>
    </row>
    <row r="16" spans="1:9" x14ac:dyDescent="0.2">
      <c r="A16" s="50"/>
      <c r="B16" s="100" t="s">
        <v>23</v>
      </c>
      <c r="C16" s="98">
        <f>'Reliquidación 7TRAN'!O17</f>
        <v>0</v>
      </c>
      <c r="D16" s="97"/>
      <c r="E16" s="100" t="s">
        <v>31</v>
      </c>
      <c r="F16" s="98">
        <f t="shared" si="0"/>
        <v>-10136323.258361958</v>
      </c>
      <c r="G16" s="99"/>
      <c r="H16" s="50"/>
      <c r="I16" s="50"/>
    </row>
    <row r="17" spans="1:9" x14ac:dyDescent="0.2">
      <c r="B17" s="100" t="s">
        <v>24</v>
      </c>
      <c r="C17" s="98">
        <f>'Reliquidación 7TRAN'!O18</f>
        <v>-478291464.51589555</v>
      </c>
      <c r="D17" s="97"/>
      <c r="E17" s="100" t="s">
        <v>32</v>
      </c>
      <c r="F17" s="98">
        <f t="shared" si="0"/>
        <v>-2358637.6848776038</v>
      </c>
      <c r="G17" s="99"/>
      <c r="H17" s="50"/>
      <c r="I17" s="50"/>
    </row>
    <row r="18" spans="1:9" x14ac:dyDescent="0.2">
      <c r="B18" s="100" t="s">
        <v>26</v>
      </c>
      <c r="C18" s="98">
        <f>'Reliquidación 7TRAN'!O19</f>
        <v>56282418.066988923</v>
      </c>
      <c r="D18" s="97"/>
      <c r="E18" s="100" t="s">
        <v>33</v>
      </c>
      <c r="F18" s="98">
        <f t="shared" si="0"/>
        <v>-2249199.0889348094</v>
      </c>
      <c r="G18" s="99"/>
      <c r="H18" s="50"/>
      <c r="I18" s="50"/>
    </row>
    <row r="19" spans="1:9" x14ac:dyDescent="0.2">
      <c r="B19" s="100" t="s">
        <v>27</v>
      </c>
      <c r="C19" s="98">
        <f>'Reliquidación 7TRAN'!O20</f>
        <v>-18331150.716567747</v>
      </c>
      <c r="D19" s="97"/>
      <c r="E19" s="100" t="s">
        <v>34</v>
      </c>
      <c r="F19" s="98">
        <f t="shared" si="0"/>
        <v>-4395883.4776049294</v>
      </c>
      <c r="G19" s="99"/>
      <c r="H19" s="50"/>
      <c r="I19" s="50"/>
    </row>
    <row r="20" spans="1:9" x14ac:dyDescent="0.2">
      <c r="B20" s="100" t="s">
        <v>28</v>
      </c>
      <c r="C20" s="98">
        <f>'Reliquidación 7TRAN'!O21</f>
        <v>0</v>
      </c>
      <c r="D20" s="97"/>
      <c r="E20" s="100" t="s">
        <v>35</v>
      </c>
      <c r="F20" s="98">
        <f t="shared" si="0"/>
        <v>-46761572.980708264</v>
      </c>
      <c r="G20" s="99"/>
      <c r="H20" s="50"/>
      <c r="I20" s="50"/>
    </row>
    <row r="21" spans="1:9" x14ac:dyDescent="0.2">
      <c r="B21" s="100" t="s">
        <v>29</v>
      </c>
      <c r="C21" s="98">
        <f>'Reliquidación 7TRAN'!O22</f>
        <v>-6659151.6369528603</v>
      </c>
      <c r="D21" s="97"/>
      <c r="E21" s="100" t="s">
        <v>36</v>
      </c>
      <c r="F21" s="98">
        <f t="shared" si="0"/>
        <v>-9954196.5461752173</v>
      </c>
      <c r="G21" s="99"/>
      <c r="H21" s="50"/>
      <c r="I21" s="50"/>
    </row>
    <row r="22" spans="1:9" x14ac:dyDescent="0.2">
      <c r="B22" s="100" t="s">
        <v>30</v>
      </c>
      <c r="C22" s="98">
        <f>'Reliquidación 7TRAN'!O23</f>
        <v>-12196002.190181963</v>
      </c>
      <c r="D22" s="97"/>
      <c r="E22" s="100" t="s">
        <v>37</v>
      </c>
      <c r="F22" s="98">
        <f t="shared" si="0"/>
        <v>-106549106.62489395</v>
      </c>
      <c r="G22" s="99"/>
      <c r="H22" s="50"/>
      <c r="I22" s="50"/>
    </row>
    <row r="23" spans="1:9" x14ac:dyDescent="0.2">
      <c r="B23" s="100" t="s">
        <v>31</v>
      </c>
      <c r="C23" s="98">
        <f>'Reliquidación 7TRAN'!O24</f>
        <v>-10136323.258361958</v>
      </c>
      <c r="D23" s="97"/>
      <c r="E23" s="100" t="s">
        <v>38</v>
      </c>
      <c r="F23" s="98">
        <f t="shared" si="0"/>
        <v>-2681855.9534800407</v>
      </c>
      <c r="G23" s="99"/>
      <c r="H23" s="50"/>
      <c r="I23" s="50"/>
    </row>
    <row r="24" spans="1:9" x14ac:dyDescent="0.2">
      <c r="B24" s="100" t="s">
        <v>32</v>
      </c>
      <c r="C24" s="98">
        <f>'Reliquidación 7TRAN'!O25</f>
        <v>-2358637.6848776038</v>
      </c>
      <c r="D24" s="97"/>
      <c r="E24" s="100" t="s">
        <v>39</v>
      </c>
      <c r="F24" s="98">
        <f t="shared" si="0"/>
        <v>114430107.79943392</v>
      </c>
      <c r="G24" s="99"/>
      <c r="H24" s="50"/>
      <c r="I24" s="50"/>
    </row>
    <row r="25" spans="1:9" x14ac:dyDescent="0.2">
      <c r="B25" s="100" t="s">
        <v>33</v>
      </c>
      <c r="C25" s="98">
        <f>'Reliquidación 7TRAN'!O26</f>
        <v>-2249199.0889348094</v>
      </c>
      <c r="D25" s="97"/>
      <c r="E25" s="100" t="s">
        <v>40</v>
      </c>
      <c r="F25" s="98">
        <f t="shared" si="0"/>
        <v>-2594015.0134860459</v>
      </c>
      <c r="G25" s="99"/>
      <c r="H25" s="50"/>
      <c r="I25" s="50"/>
    </row>
    <row r="26" spans="1:9" x14ac:dyDescent="0.2">
      <c r="B26" s="100" t="s">
        <v>34</v>
      </c>
      <c r="C26" s="98">
        <f>'Reliquidación 7TRAN'!O27</f>
        <v>-4395883.4776049294</v>
      </c>
      <c r="D26" s="97"/>
      <c r="E26" s="100" t="s">
        <v>41</v>
      </c>
      <c r="F26" s="98">
        <f t="shared" si="0"/>
        <v>-6678849.914563098</v>
      </c>
      <c r="G26" s="99"/>
      <c r="H26" s="50"/>
      <c r="I26" s="50"/>
    </row>
    <row r="27" spans="1:9" x14ac:dyDescent="0.2">
      <c r="B27" s="100" t="s">
        <v>35</v>
      </c>
      <c r="C27" s="98">
        <f>'Reliquidación 7TRAN'!O28</f>
        <v>-46761572.980708264</v>
      </c>
      <c r="D27" s="97"/>
      <c r="E27" s="100" t="s">
        <v>42</v>
      </c>
      <c r="F27" s="98">
        <f t="shared" si="0"/>
        <v>-5393889.8977783341</v>
      </c>
      <c r="G27" s="99"/>
      <c r="H27" s="50"/>
      <c r="I27" s="50"/>
    </row>
    <row r="28" spans="1:9" x14ac:dyDescent="0.2">
      <c r="B28" s="100" t="s">
        <v>36</v>
      </c>
      <c r="C28" s="98">
        <f>'Reliquidación 7TRAN'!O29</f>
        <v>-9954196.5461752173</v>
      </c>
      <c r="D28" s="97"/>
      <c r="E28" s="100" t="s">
        <v>43</v>
      </c>
      <c r="F28" s="98">
        <f t="shared" si="0"/>
        <v>-4295730.4510039194</v>
      </c>
      <c r="G28" s="99"/>
      <c r="H28" s="50"/>
      <c r="I28" s="50"/>
    </row>
    <row r="29" spans="1:9" x14ac:dyDescent="0.2">
      <c r="A29" s="50"/>
      <c r="B29" s="100" t="s">
        <v>37</v>
      </c>
      <c r="C29" s="98">
        <f>'Reliquidación 7TRAN'!O30</f>
        <v>-106549106.62489395</v>
      </c>
      <c r="D29" s="97"/>
      <c r="E29" s="100" t="s">
        <v>45</v>
      </c>
      <c r="F29" s="98">
        <f t="shared" si="0"/>
        <v>-921002.68668824178</v>
      </c>
      <c r="G29" s="99"/>
      <c r="H29" s="50"/>
      <c r="I29" s="50"/>
    </row>
    <row r="30" spans="1:9" x14ac:dyDescent="0.2">
      <c r="B30" s="100" t="s">
        <v>38</v>
      </c>
      <c r="C30" s="98">
        <f>'Reliquidación 7TRAN'!O31</f>
        <v>-2681855.9534800407</v>
      </c>
      <c r="D30" s="97"/>
      <c r="E30" s="100" t="s">
        <v>49</v>
      </c>
      <c r="F30" s="98">
        <f t="shared" si="0"/>
        <v>0</v>
      </c>
      <c r="G30" s="99"/>
      <c r="H30" s="50"/>
      <c r="I30" s="50"/>
    </row>
    <row r="31" spans="1:9" x14ac:dyDescent="0.2">
      <c r="A31" s="50"/>
      <c r="B31" s="100" t="s">
        <v>39</v>
      </c>
      <c r="C31" s="98">
        <f>'Reliquidación 7TRAN'!O32</f>
        <v>114430107.79943392</v>
      </c>
      <c r="D31" s="97"/>
      <c r="E31" s="42" t="s">
        <v>50</v>
      </c>
      <c r="F31" s="98">
        <f t="shared" si="0"/>
        <v>-7604.0058190364807</v>
      </c>
      <c r="G31" s="99"/>
      <c r="H31" s="50"/>
      <c r="I31" s="50"/>
    </row>
    <row r="32" spans="1:9" x14ac:dyDescent="0.2">
      <c r="A32" s="50"/>
      <c r="B32" s="100" t="s">
        <v>40</v>
      </c>
      <c r="C32" s="98">
        <f>'Reliquidación 7TRAN'!O33</f>
        <v>-2594015.0134860459</v>
      </c>
      <c r="D32" s="97"/>
      <c r="E32" s="101" t="s">
        <v>51</v>
      </c>
      <c r="F32" s="98">
        <f t="shared" si="0"/>
        <v>2077724.0790498359</v>
      </c>
      <c r="G32" s="97"/>
      <c r="H32" s="50"/>
      <c r="I32" s="50"/>
    </row>
    <row r="33" spans="1:14" x14ac:dyDescent="0.2">
      <c r="A33" s="50"/>
      <c r="B33" s="100" t="s">
        <v>41</v>
      </c>
      <c r="C33" s="98">
        <f>'Reliquidación 7TRAN'!O34</f>
        <v>-6678849.914563098</v>
      </c>
      <c r="D33" s="97"/>
      <c r="E33" s="102" t="s">
        <v>66</v>
      </c>
      <c r="F33" s="103">
        <f>SUM(F8:F32)</f>
        <v>1.2479722499847412E-7</v>
      </c>
      <c r="G33" s="104"/>
      <c r="H33" s="50"/>
      <c r="I33" s="50"/>
    </row>
    <row r="34" spans="1:14" x14ac:dyDescent="0.2">
      <c r="B34" s="100" t="s">
        <v>42</v>
      </c>
      <c r="C34" s="98">
        <f>'Reliquidación 7TRAN'!O35</f>
        <v>-5393889.8977783341</v>
      </c>
      <c r="D34" s="97"/>
      <c r="E34" s="105"/>
      <c r="F34" s="106"/>
      <c r="G34" s="104"/>
      <c r="H34" s="50"/>
      <c r="I34" s="50"/>
    </row>
    <row r="35" spans="1:14" x14ac:dyDescent="0.2">
      <c r="A35" s="50"/>
      <c r="B35" s="100" t="s">
        <v>43</v>
      </c>
      <c r="C35" s="98">
        <f>'Reliquidación 7TRAN'!O36</f>
        <v>-4295730.4510039194</v>
      </c>
      <c r="D35" s="97"/>
      <c r="E35" s="105"/>
      <c r="F35" s="106"/>
      <c r="G35" s="104"/>
      <c r="H35" s="50"/>
      <c r="I35" s="50"/>
    </row>
    <row r="36" spans="1:14" x14ac:dyDescent="0.2">
      <c r="A36" s="50"/>
      <c r="B36" s="100" t="s">
        <v>45</v>
      </c>
      <c r="C36" s="98">
        <f>'Reliquidación 7TRAN'!O37</f>
        <v>-921002.68668824178</v>
      </c>
      <c r="D36" s="97"/>
      <c r="E36" s="105"/>
      <c r="F36" s="106"/>
      <c r="G36" s="104"/>
      <c r="H36" s="50"/>
      <c r="I36" s="50"/>
    </row>
    <row r="37" spans="1:14" x14ac:dyDescent="0.2">
      <c r="B37" s="100" t="s">
        <v>46</v>
      </c>
      <c r="C37" s="98">
        <f>'Reliquidación 7TRAN'!O38</f>
        <v>-15761153.098392267</v>
      </c>
      <c r="D37" s="97"/>
      <c r="E37" s="105"/>
      <c r="F37" s="106"/>
      <c r="G37" s="104"/>
      <c r="H37" s="50"/>
      <c r="I37" s="50"/>
    </row>
    <row r="38" spans="1:14" x14ac:dyDescent="0.2">
      <c r="B38" s="100" t="s">
        <v>47</v>
      </c>
      <c r="C38" s="98">
        <f>'Reliquidación 7TRAN'!O39</f>
        <v>-22500130.495132618</v>
      </c>
      <c r="D38" s="97"/>
      <c r="E38" s="105"/>
      <c r="F38" s="106"/>
      <c r="G38" s="104"/>
      <c r="H38" s="50"/>
      <c r="I38" s="50"/>
    </row>
    <row r="39" spans="1:14" x14ac:dyDescent="0.2">
      <c r="B39" s="100" t="s">
        <v>48</v>
      </c>
      <c r="C39" s="98">
        <f>'Reliquidación 7TRAN'!O40</f>
        <v>99869391.458855733</v>
      </c>
      <c r="D39" s="97"/>
      <c r="E39" s="105"/>
      <c r="F39" s="106"/>
      <c r="G39" s="104"/>
      <c r="H39" s="50"/>
      <c r="I39" s="50"/>
    </row>
    <row r="40" spans="1:14" x14ac:dyDescent="0.2">
      <c r="B40" s="100" t="s">
        <v>49</v>
      </c>
      <c r="C40" s="98">
        <f>'Reliquidación 7TRAN'!O41</f>
        <v>0</v>
      </c>
      <c r="D40" s="97"/>
      <c r="E40" s="105"/>
      <c r="F40" s="106"/>
      <c r="G40" s="104"/>
      <c r="H40" s="50"/>
      <c r="I40" s="50"/>
    </row>
    <row r="41" spans="1:14" x14ac:dyDescent="0.2">
      <c r="B41" s="42" t="s">
        <v>50</v>
      </c>
      <c r="C41" s="98">
        <f>'Reliquidación 7TRAN'!O42</f>
        <v>-7604.0058190364807</v>
      </c>
      <c r="D41" s="97"/>
      <c r="E41" s="105"/>
      <c r="F41" s="106"/>
      <c r="G41" s="104"/>
      <c r="H41" s="50"/>
      <c r="I41" s="50"/>
    </row>
    <row r="42" spans="1:14" x14ac:dyDescent="0.2">
      <c r="B42" s="101" t="s">
        <v>51</v>
      </c>
      <c r="C42" s="107">
        <f>'Reliquidación 7TRAN'!O43</f>
        <v>2077724.0790498359</v>
      </c>
      <c r="D42" s="97"/>
      <c r="E42" s="105"/>
      <c r="F42" s="106"/>
      <c r="G42" s="104"/>
      <c r="H42" s="50"/>
      <c r="I42" s="50"/>
    </row>
    <row r="43" spans="1:14" x14ac:dyDescent="0.2">
      <c r="B43" s="102" t="s">
        <v>66</v>
      </c>
      <c r="C43" s="103">
        <f>SUM(C8:C42)</f>
        <v>1.6042031347751617E-7</v>
      </c>
      <c r="D43" s="108"/>
      <c r="E43" s="50"/>
      <c r="G43" s="104"/>
      <c r="H43" s="50"/>
      <c r="I43" s="50"/>
    </row>
    <row r="44" spans="1:14" x14ac:dyDescent="0.2">
      <c r="B44" s="105"/>
      <c r="C44" s="109"/>
      <c r="E44" s="50"/>
      <c r="G44" s="50"/>
      <c r="H44" s="50"/>
    </row>
    <row r="45" spans="1:14" x14ac:dyDescent="0.2">
      <c r="B45" s="105"/>
      <c r="C45" s="109"/>
      <c r="D45" s="109"/>
      <c r="G45" s="50"/>
    </row>
    <row r="46" spans="1:14" x14ac:dyDescent="0.2">
      <c r="B46" s="50"/>
      <c r="C46" s="50"/>
      <c r="D46" s="50"/>
      <c r="E46" s="106"/>
      <c r="F46" s="50"/>
      <c r="G46" s="50"/>
      <c r="H46" s="50"/>
      <c r="I46" s="50"/>
    </row>
    <row r="47" spans="1:14" x14ac:dyDescent="0.2">
      <c r="B47" s="110" t="s">
        <v>85</v>
      </c>
      <c r="C47" s="50"/>
      <c r="D47" s="50"/>
      <c r="E47" s="50"/>
      <c r="F47" s="50"/>
      <c r="G47" s="50"/>
      <c r="H47" s="50"/>
      <c r="I47" s="50"/>
      <c r="K47" s="50"/>
      <c r="L47" s="50"/>
      <c r="M47" s="50"/>
      <c r="N47" s="50"/>
    </row>
    <row r="48" spans="1:14" x14ac:dyDescent="0.2">
      <c r="B48" s="50"/>
      <c r="C48" s="50"/>
      <c r="D48" s="50"/>
      <c r="E48" s="106"/>
      <c r="F48" s="50"/>
      <c r="G48" s="50"/>
      <c r="H48" s="50"/>
      <c r="I48" s="50"/>
      <c r="J48" s="50"/>
    </row>
    <row r="49" spans="2:6" x14ac:dyDescent="0.2">
      <c r="B49" s="111" t="s">
        <v>86</v>
      </c>
      <c r="C49" s="112" t="s">
        <v>87</v>
      </c>
      <c r="D49" s="113"/>
      <c r="E49" s="114"/>
      <c r="F49" s="123" t="s">
        <v>52</v>
      </c>
    </row>
    <row r="50" spans="2:6" x14ac:dyDescent="0.2">
      <c r="B50" s="116"/>
      <c r="C50" s="48" t="s">
        <v>82</v>
      </c>
      <c r="D50" s="49" t="s">
        <v>39</v>
      </c>
      <c r="E50" s="124" t="s">
        <v>51</v>
      </c>
      <c r="F50" s="125"/>
    </row>
    <row r="51" spans="2:6" ht="12" customHeight="1" x14ac:dyDescent="0.2">
      <c r="B51" s="79" t="s">
        <v>14</v>
      </c>
      <c r="C51" s="118">
        <f t="shared" ref="C51:E72" si="1">(VLOOKUP($B51,$E$8:$F$32,2,0)*(-(VLOOKUP(C$50,$E$8:$F$32,2,0))))/SUMPRODUCT(($F$8:$F$32&gt;0)*($F$8:$F$32))</f>
        <v>2864644.6535091717</v>
      </c>
      <c r="D51" s="118">
        <f t="shared" si="1"/>
        <v>547335.50148361351</v>
      </c>
      <c r="E51" s="118">
        <f t="shared" si="1"/>
        <v>9938.0501567345964</v>
      </c>
      <c r="F51" s="119">
        <f t="shared" ref="F51:F72" si="2">SUM(C51:E51)</f>
        <v>3421918.2051495197</v>
      </c>
    </row>
    <row r="52" spans="2:6" x14ac:dyDescent="0.2">
      <c r="B52" s="78" t="s">
        <v>15</v>
      </c>
      <c r="C52" s="118">
        <f t="shared" si="1"/>
        <v>2076622.8317545962</v>
      </c>
      <c r="D52" s="118">
        <f t="shared" si="1"/>
        <v>396771.51496552431</v>
      </c>
      <c r="E52" s="118">
        <f t="shared" si="1"/>
        <v>7204.2379962612449</v>
      </c>
      <c r="F52" s="119">
        <f t="shared" si="2"/>
        <v>2480598.5847163815</v>
      </c>
    </row>
    <row r="53" spans="2:6" x14ac:dyDescent="0.2">
      <c r="B53" s="79" t="s">
        <v>16</v>
      </c>
      <c r="C53" s="118">
        <f t="shared" si="1"/>
        <v>4903677.2787202466</v>
      </c>
      <c r="D53" s="118">
        <f t="shared" si="1"/>
        <v>936924.81515091809</v>
      </c>
      <c r="E53" s="118">
        <f t="shared" si="1"/>
        <v>17011.87988138913</v>
      </c>
      <c r="F53" s="119">
        <f t="shared" si="2"/>
        <v>5857613.9737525545</v>
      </c>
    </row>
    <row r="54" spans="2:6" x14ac:dyDescent="0.2">
      <c r="B54" s="79" t="s">
        <v>17</v>
      </c>
      <c r="C54" s="118">
        <f t="shared" si="1"/>
        <v>1278770.031520372</v>
      </c>
      <c r="D54" s="118">
        <f t="shared" si="1"/>
        <v>244329.16509453487</v>
      </c>
      <c r="E54" s="118">
        <f t="shared" si="1"/>
        <v>4436.3201197086446</v>
      </c>
      <c r="F54" s="119">
        <f t="shared" si="2"/>
        <v>1527535.5167346154</v>
      </c>
    </row>
    <row r="55" spans="2:6" x14ac:dyDescent="0.2">
      <c r="B55" s="79" t="s">
        <v>83</v>
      </c>
      <c r="C55" s="118">
        <f t="shared" si="1"/>
        <v>400399718.66734439</v>
      </c>
      <c r="D55" s="118">
        <f t="shared" si="1"/>
        <v>76502675.660741255</v>
      </c>
      <c r="E55" s="118">
        <f t="shared" si="1"/>
        <v>1389070.1878098578</v>
      </c>
      <c r="F55" s="119">
        <f t="shared" si="2"/>
        <v>478291464.51589555</v>
      </c>
    </row>
    <row r="56" spans="2:6" x14ac:dyDescent="0.2">
      <c r="B56" s="79" t="s">
        <v>29</v>
      </c>
      <c r="C56" s="118">
        <f t="shared" si="1"/>
        <v>5574681.2138866819</v>
      </c>
      <c r="D56" s="118">
        <f t="shared" si="1"/>
        <v>1065130.69049462</v>
      </c>
      <c r="E56" s="118">
        <f t="shared" si="1"/>
        <v>19339.732571558397</v>
      </c>
      <c r="F56" s="119">
        <f t="shared" si="2"/>
        <v>6659151.6369528603</v>
      </c>
    </row>
    <row r="57" spans="2:6" x14ac:dyDescent="0.2">
      <c r="B57" s="79" t="s">
        <v>30</v>
      </c>
      <c r="C57" s="118">
        <f t="shared" si="1"/>
        <v>10209832.723562818</v>
      </c>
      <c r="D57" s="118">
        <f t="shared" si="1"/>
        <v>1950749.4261005626</v>
      </c>
      <c r="E57" s="118">
        <f t="shared" si="1"/>
        <v>35420.040518583155</v>
      </c>
      <c r="F57" s="119">
        <f t="shared" si="2"/>
        <v>12196002.190181965</v>
      </c>
    </row>
    <row r="58" spans="2:6" x14ac:dyDescent="0.2">
      <c r="B58" s="79" t="s">
        <v>31</v>
      </c>
      <c r="C58" s="118">
        <f t="shared" si="1"/>
        <v>8485581.0359846074</v>
      </c>
      <c r="D58" s="118">
        <f t="shared" si="1"/>
        <v>1621303.9708157312</v>
      </c>
      <c r="E58" s="118">
        <f t="shared" si="1"/>
        <v>29438.251561619363</v>
      </c>
      <c r="F58" s="119">
        <f t="shared" si="2"/>
        <v>10136323.258361958</v>
      </c>
    </row>
    <row r="59" spans="2:6" x14ac:dyDescent="0.2">
      <c r="B59" s="79" t="s">
        <v>32</v>
      </c>
      <c r="C59" s="118">
        <f t="shared" si="1"/>
        <v>1974523.7695576793</v>
      </c>
      <c r="D59" s="118">
        <f t="shared" si="1"/>
        <v>377263.88027858303</v>
      </c>
      <c r="E59" s="118">
        <f t="shared" si="1"/>
        <v>6850.0350413413162</v>
      </c>
      <c r="F59" s="119">
        <f t="shared" si="2"/>
        <v>2358637.6848776033</v>
      </c>
    </row>
    <row r="60" spans="2:6" x14ac:dyDescent="0.2">
      <c r="B60" s="79" t="s">
        <v>33</v>
      </c>
      <c r="C60" s="118">
        <f t="shared" si="1"/>
        <v>1882907.7022059532</v>
      </c>
      <c r="D60" s="118">
        <f t="shared" si="1"/>
        <v>359759.18694550719</v>
      </c>
      <c r="E60" s="118">
        <f t="shared" si="1"/>
        <v>6532.1997833490577</v>
      </c>
      <c r="F60" s="119">
        <f t="shared" si="2"/>
        <v>2249199.0889348094</v>
      </c>
    </row>
    <row r="61" spans="2:6" x14ac:dyDescent="0.2">
      <c r="B61" s="79" t="s">
        <v>34</v>
      </c>
      <c r="C61" s="118">
        <f t="shared" si="1"/>
        <v>3679995.6476516752</v>
      </c>
      <c r="D61" s="118">
        <f t="shared" si="1"/>
        <v>703121.15703341132</v>
      </c>
      <c r="E61" s="118">
        <f t="shared" si="1"/>
        <v>12766.672919842575</v>
      </c>
      <c r="F61" s="119">
        <f t="shared" si="2"/>
        <v>4395883.4776049284</v>
      </c>
    </row>
    <row r="62" spans="2:6" x14ac:dyDescent="0.2">
      <c r="B62" s="79" t="s">
        <v>35</v>
      </c>
      <c r="C62" s="118">
        <f t="shared" si="1"/>
        <v>39146257.156959638</v>
      </c>
      <c r="D62" s="118">
        <f t="shared" si="1"/>
        <v>7479509.2878148472</v>
      </c>
      <c r="E62" s="118">
        <f t="shared" si="1"/>
        <v>135806.53593377699</v>
      </c>
      <c r="F62" s="119">
        <f t="shared" si="2"/>
        <v>46761572.980708264</v>
      </c>
    </row>
    <row r="63" spans="2:6" x14ac:dyDescent="0.2">
      <c r="B63" s="79" t="s">
        <v>36</v>
      </c>
      <c r="C63" s="118">
        <f t="shared" si="1"/>
        <v>8333114.4131583162</v>
      </c>
      <c r="D63" s="118">
        <f t="shared" si="1"/>
        <v>1592172.8199897767</v>
      </c>
      <c r="E63" s="118">
        <f t="shared" si="1"/>
        <v>28909.313027124525</v>
      </c>
      <c r="F63" s="119">
        <f t="shared" si="2"/>
        <v>9954196.5461752173</v>
      </c>
    </row>
    <row r="64" spans="2:6" x14ac:dyDescent="0.2">
      <c r="B64" s="79" t="s">
        <v>37</v>
      </c>
      <c r="C64" s="118">
        <f t="shared" si="1"/>
        <v>89197143.336114421</v>
      </c>
      <c r="D64" s="118">
        <f t="shared" si="1"/>
        <v>17042519.783028871</v>
      </c>
      <c r="E64" s="118">
        <f t="shared" si="1"/>
        <v>309443.5057506556</v>
      </c>
      <c r="F64" s="119">
        <f t="shared" si="2"/>
        <v>106549106.62489395</v>
      </c>
    </row>
    <row r="65" spans="2:10" x14ac:dyDescent="0.2">
      <c r="B65" s="79" t="s">
        <v>38</v>
      </c>
      <c r="C65" s="118">
        <f t="shared" si="1"/>
        <v>2245104.6045043184</v>
      </c>
      <c r="D65" s="118">
        <f t="shared" si="1"/>
        <v>428962.61254750652</v>
      </c>
      <c r="E65" s="118">
        <f t="shared" si="1"/>
        <v>7788.7364282155168</v>
      </c>
      <c r="F65" s="119">
        <f t="shared" si="2"/>
        <v>2681855.9534800407</v>
      </c>
    </row>
    <row r="66" spans="2:10" x14ac:dyDescent="0.2">
      <c r="B66" s="79" t="s">
        <v>40</v>
      </c>
      <c r="C66" s="118">
        <f t="shared" si="1"/>
        <v>2171568.9253830747</v>
      </c>
      <c r="D66" s="118">
        <f t="shared" si="1"/>
        <v>414912.46229258412</v>
      </c>
      <c r="E66" s="118">
        <f t="shared" si="1"/>
        <v>7533.6258103867985</v>
      </c>
      <c r="F66" s="119">
        <f t="shared" si="2"/>
        <v>2594015.0134860454</v>
      </c>
    </row>
    <row r="67" spans="2:10" x14ac:dyDescent="0.2">
      <c r="B67" s="79" t="s">
        <v>41</v>
      </c>
      <c r="C67" s="118">
        <f t="shared" si="1"/>
        <v>5591171.5454073446</v>
      </c>
      <c r="D67" s="118">
        <f t="shared" si="1"/>
        <v>1068281.428182604</v>
      </c>
      <c r="E67" s="118">
        <f t="shared" si="1"/>
        <v>19396.940973149416</v>
      </c>
      <c r="F67" s="119">
        <f t="shared" si="2"/>
        <v>6678849.914563098</v>
      </c>
    </row>
    <row r="68" spans="2:10" x14ac:dyDescent="0.2">
      <c r="B68" s="79" t="s">
        <v>42</v>
      </c>
      <c r="C68" s="118">
        <f t="shared" si="1"/>
        <v>4515472.5890394812</v>
      </c>
      <c r="D68" s="118">
        <f t="shared" si="1"/>
        <v>862752.19194460625</v>
      </c>
      <c r="E68" s="118">
        <f t="shared" si="1"/>
        <v>15665.116794246365</v>
      </c>
      <c r="F68" s="119">
        <f t="shared" si="2"/>
        <v>5393889.8977783341</v>
      </c>
    </row>
    <row r="69" spans="2:10" x14ac:dyDescent="0.2">
      <c r="B69" s="79" t="s">
        <v>43</v>
      </c>
      <c r="C69" s="118">
        <f t="shared" si="1"/>
        <v>3596152.9562180825</v>
      </c>
      <c r="D69" s="118">
        <f t="shared" si="1"/>
        <v>687101.68966061645</v>
      </c>
      <c r="E69" s="118">
        <f t="shared" si="1"/>
        <v>12475.805125220313</v>
      </c>
      <c r="F69" s="119">
        <f t="shared" si="2"/>
        <v>4295730.4510039194</v>
      </c>
    </row>
    <row r="70" spans="2:10" x14ac:dyDescent="0.2">
      <c r="B70" s="79" t="s">
        <v>45</v>
      </c>
      <c r="C70" s="118">
        <f t="shared" si="1"/>
        <v>771013.58481295803</v>
      </c>
      <c r="D70" s="118">
        <f t="shared" si="1"/>
        <v>147314.29483839392</v>
      </c>
      <c r="E70" s="118">
        <f t="shared" si="1"/>
        <v>2674.8070368897456</v>
      </c>
      <c r="F70" s="119">
        <f t="shared" si="2"/>
        <v>921002.68668824167</v>
      </c>
    </row>
    <row r="71" spans="2:10" x14ac:dyDescent="0.2">
      <c r="B71" s="79" t="s">
        <v>50</v>
      </c>
      <c r="C71" s="118">
        <f t="shared" si="1"/>
        <v>6365.6619792885122</v>
      </c>
      <c r="D71" s="118">
        <f t="shared" si="1"/>
        <v>1216.2600298228906</v>
      </c>
      <c r="E71" s="118">
        <f t="shared" si="1"/>
        <v>22.083809925078061</v>
      </c>
      <c r="F71" s="119">
        <f t="shared" si="2"/>
        <v>7604.0058190364807</v>
      </c>
    </row>
    <row r="72" spans="2:10" x14ac:dyDescent="0.2">
      <c r="B72" s="79" t="s">
        <v>49</v>
      </c>
      <c r="C72" s="118">
        <f t="shared" si="1"/>
        <v>0</v>
      </c>
      <c r="D72" s="118">
        <f t="shared" si="1"/>
        <v>0</v>
      </c>
      <c r="E72" s="118">
        <f t="shared" si="1"/>
        <v>0</v>
      </c>
      <c r="F72" s="119">
        <f t="shared" si="2"/>
        <v>0</v>
      </c>
    </row>
    <row r="73" spans="2:10" x14ac:dyDescent="0.2">
      <c r="B73" s="120" t="s">
        <v>52</v>
      </c>
      <c r="C73" s="121">
        <f>SUM(C51:C72)</f>
        <v>598904320.32927525</v>
      </c>
      <c r="D73" s="121">
        <f>SUM(D51:D72)</f>
        <v>114430107.7994339</v>
      </c>
      <c r="E73" s="121">
        <f>SUM(E51:E72)</f>
        <v>2077724.0790498352</v>
      </c>
      <c r="F73" s="82">
        <f>SUM(F51:F72)</f>
        <v>715412152.20775878</v>
      </c>
    </row>
    <row r="74" spans="2:10" x14ac:dyDescent="0.2">
      <c r="B74" s="50"/>
      <c r="C74" s="106"/>
      <c r="D74" s="106"/>
      <c r="E74" s="106"/>
      <c r="F74" s="106"/>
      <c r="G74" s="106"/>
      <c r="H74" s="106"/>
      <c r="I74" s="106"/>
      <c r="J74" s="17"/>
    </row>
    <row r="75" spans="2:10" x14ac:dyDescent="0.2">
      <c r="B75" s="110"/>
      <c r="C75" s="122"/>
      <c r="D75" s="122"/>
      <c r="E75" s="122"/>
      <c r="F75" s="84">
        <f>-SUMPRODUCT(($F$8:$F$32&lt;0)*($F$8:$F$32))</f>
        <v>715412152.20775878</v>
      </c>
      <c r="G75" s="50"/>
      <c r="H75" s="50"/>
      <c r="I75" s="50"/>
    </row>
    <row r="76" spans="2:10" x14ac:dyDescent="0.2">
      <c r="B76" s="50"/>
      <c r="C76" s="50"/>
      <c r="D76" s="50"/>
      <c r="E76" s="50"/>
      <c r="F76" s="85">
        <f>F73-F75</f>
        <v>0</v>
      </c>
      <c r="G76" s="50"/>
      <c r="H76" s="50"/>
      <c r="I76" s="50"/>
    </row>
    <row r="77" spans="2:10" x14ac:dyDescent="0.2">
      <c r="B77" s="50"/>
      <c r="C77" s="50"/>
      <c r="D77" s="50"/>
      <c r="E77" s="50"/>
      <c r="F77" s="85">
        <f>F73-I6</f>
        <v>0</v>
      </c>
      <c r="G77" s="50"/>
      <c r="H77" s="50"/>
      <c r="I77" s="50"/>
    </row>
    <row r="91" spans="4:6" x14ac:dyDescent="0.2">
      <c r="D91" s="50"/>
      <c r="E91" s="50"/>
      <c r="F91" s="50"/>
    </row>
  </sheetData>
  <mergeCells count="8">
    <mergeCell ref="B49:B50"/>
    <mergeCell ref="C49:E49"/>
    <mergeCell ref="B6:B7"/>
    <mergeCell ref="C6:C7"/>
    <mergeCell ref="E6:E7"/>
    <mergeCell ref="F6:F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Entrada AR</vt:lpstr>
      <vt:lpstr>Entrada TD</vt:lpstr>
      <vt:lpstr>Entrada CDRGL</vt:lpstr>
      <vt:lpstr>Entrada 7TRAN</vt:lpstr>
      <vt:lpstr>Reliquidación TD</vt:lpstr>
      <vt:lpstr>Reliquidación AR</vt:lpstr>
      <vt:lpstr>CUADRO DE PAGO AR</vt:lpstr>
      <vt:lpstr>Reliquidación CD RGL</vt:lpstr>
      <vt:lpstr>CUADRO DE PAGO CD RGL</vt:lpstr>
      <vt:lpstr>Reliquidación 7TRAN</vt:lpstr>
      <vt:lpstr>CUADRO DE PAGO 7TRAN</vt:lpstr>
      <vt:lpstr>'Entrada 7TRAN'!DirectorioEntrada</vt:lpstr>
      <vt:lpstr>'Entrada AR'!DirectorioEntrada</vt:lpstr>
      <vt:lpstr>'Entrada CDRGL'!DirectorioEntrada</vt:lpstr>
      <vt:lpstr>'Entrada TD'!DirectorioEntrada</vt:lpstr>
      <vt:lpstr>'Entrada 7TRAN'!FechaFacturacion</vt:lpstr>
      <vt:lpstr>'Entrada AR'!FechaFacturacion</vt:lpstr>
      <vt:lpstr>'Entrada CDRGL'!FechaFacturacion</vt:lpstr>
      <vt:lpstr>'Entrada TD'!FechaFacturacion</vt:lpstr>
      <vt:lpstr>FechaFacturacion</vt:lpstr>
      <vt:lpstr>'Entrada 7TRAN'!Responsable</vt:lpstr>
      <vt:lpstr>'Entrada AR'!Responsable</vt:lpstr>
      <vt:lpstr>'Entrada CDRGL'!Responsable</vt:lpstr>
      <vt:lpstr>'Entrada TD'!Responsable</vt:lpstr>
      <vt:lpstr>'Entrada 7TRAN'!version</vt:lpstr>
      <vt:lpstr>'Entrada AR'!version</vt:lpstr>
      <vt:lpstr>'Entrada CDRGL'!version</vt:lpstr>
      <vt:lpstr>'Entrada TD'!version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Osvaldo  Sanhueza Ramirez</dc:creator>
  <cp:lastModifiedBy>Rubén Osvaldo  Sanhueza Ramirez</cp:lastModifiedBy>
  <dcterms:created xsi:type="dcterms:W3CDTF">2024-12-16T15:02:45Z</dcterms:created>
  <dcterms:modified xsi:type="dcterms:W3CDTF">2024-12-16T15:03:13Z</dcterms:modified>
</cp:coreProperties>
</file>