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.sanhueza\Desktop\DBCD\Distribuidoras\40_Cargos_tarifarios\2024\11 Noviembre\Pre\"/>
    </mc:Choice>
  </mc:AlternateContent>
  <xr:revisionPtr revIDLastSave="0" documentId="13_ncr:1_{A6350461-77B4-4A13-A971-FC5470C80222}" xr6:coauthVersionLast="47" xr6:coauthVersionMax="47" xr10:uidLastSave="{00000000-0000-0000-0000-000000000000}"/>
  <bookViews>
    <workbookView xWindow="-120" yWindow="-120" windowWidth="29040" windowHeight="15840" xr2:uid="{DCB88393-D243-495F-9446-0B53A9E2C006}"/>
  </bookViews>
  <sheets>
    <sheet name="Pagos" sheetId="1" r:id="rId1"/>
    <sheet name="MFETR" sheetId="2" r:id="rId2"/>
    <sheet name="EMPRESAS" sheetId="3" r:id="rId3"/>
    <sheet name="CPETR" sheetId="4" r:id="rId4"/>
    <sheet name="Entrada CUSSR" sheetId="5" r:id="rId5"/>
    <sheet name="Reliquidación CUSSR" sheetId="6" r:id="rId6"/>
    <sheet name="CUADRO DE PAGO CUSSR" sheetId="7" r:id="rId7"/>
  </sheets>
  <externalReferences>
    <externalReference r:id="rId8"/>
  </externalReferences>
  <definedNames>
    <definedName name="_xlnm._FilterDatabase" localSheetId="6" hidden="1">'CUADRO DE PAGO CUSSR'!$F$6:$G$35</definedName>
    <definedName name="_xlnm._FilterDatabase" localSheetId="4" hidden="1">'Entrada CUSSR'!$F$7:$H$46</definedName>
    <definedName name="_xlnm._FilterDatabase" localSheetId="0" hidden="1">Pagos!$B$6:$U$41</definedName>
    <definedName name="_xlnm._FilterDatabase" localSheetId="5" hidden="1">'Reliquidación CUSSR'!$I$8:$I$46</definedName>
    <definedName name="_xlcn.WorksheetConnection_Resumen_ETR_200119022001_def.xlsxRUT1" hidden="1">[1]!RUT[#Data]</definedName>
    <definedName name="_xlnm.Print_Area" localSheetId="0">Pagos!$B$47:$M$70</definedName>
    <definedName name="CPETR">Pagos!$B$51:$K$69</definedName>
    <definedName name="DirectorioEntrada" localSheetId="4">'Entrada CUSSR'!$G$3</definedName>
    <definedName name="DirectorioEntrada">MFETR!$X$3</definedName>
    <definedName name="FechaFacturacion">MFETR!$S$3</definedName>
    <definedName name="FechaFacturacion_cussr" localSheetId="4">'Entrada CUSSR'!$B$3</definedName>
    <definedName name="Responsable" localSheetId="4">'Entrada CUSSR'!$G$4</definedName>
    <definedName name="version" localSheetId="4">'Entrada CUSSR'!$G$2</definedName>
    <definedName name="version">MFETR!$X$2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E-e89e33d4-0491-4962-9bb2-46eb49233a8a" name="TEE" connection="Consulta - TEE"/>
          <x15:modelTable id="RUT-f220b601-0348-4a13-81e7-1c38794d4d30" name="RUT" connection="WorksheetConnection_Resumen_ETR_2001 (1902-2001)_def.xlsx!RU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7" l="1"/>
  <c r="C43" i="7"/>
  <c r="C42" i="7"/>
  <c r="C41" i="7"/>
  <c r="C40" i="7"/>
  <c r="C39" i="7"/>
  <c r="C38" i="7"/>
  <c r="C37" i="7"/>
  <c r="C45" i="7" s="1"/>
  <c r="C36" i="7"/>
  <c r="C35" i="7"/>
  <c r="G34" i="7"/>
  <c r="O64" i="7" s="1" a="1"/>
  <c r="O64" i="7" s="1"/>
  <c r="C34" i="7"/>
  <c r="G33" i="7"/>
  <c r="O63" i="7" s="1" a="1"/>
  <c r="O63" i="7" s="1"/>
  <c r="C33" i="7"/>
  <c r="G32" i="7"/>
  <c r="N61" i="7" s="1" a="1"/>
  <c r="N61" i="7" s="1"/>
  <c r="C32" i="7"/>
  <c r="G31" i="7"/>
  <c r="N62" i="7" s="1" a="1"/>
  <c r="N62" i="7" s="1"/>
  <c r="C31" i="7"/>
  <c r="G30" i="7"/>
  <c r="P58" i="7" s="1" a="1"/>
  <c r="P58" i="7" s="1"/>
  <c r="C30" i="7"/>
  <c r="G29" i="7"/>
  <c r="P57" i="7" s="1" a="1"/>
  <c r="P57" i="7" s="1"/>
  <c r="C29" i="7"/>
  <c r="G28" i="7"/>
  <c r="C28" i="7"/>
  <c r="G27" i="7"/>
  <c r="C27" i="7"/>
  <c r="G26" i="7"/>
  <c r="Q60" i="7" s="1" a="1"/>
  <c r="Q60" i="7" s="1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7" i="7"/>
  <c r="C17" i="7"/>
  <c r="G16" i="7"/>
  <c r="O56" i="7" s="1" a="1"/>
  <c r="O56" i="7" s="1"/>
  <c r="C16" i="7"/>
  <c r="G15" i="7"/>
  <c r="C15" i="7"/>
  <c r="G14" i="7"/>
  <c r="Q59" i="7" s="1" a="1"/>
  <c r="Q59" i="7" s="1"/>
  <c r="C14" i="7"/>
  <c r="G13" i="7"/>
  <c r="O55" i="7" s="1" a="1"/>
  <c r="O55" i="7" s="1"/>
  <c r="C13" i="7"/>
  <c r="G12" i="7"/>
  <c r="C12" i="7"/>
  <c r="G11" i="7"/>
  <c r="N54" i="7" s="1" a="1"/>
  <c r="N54" i="7" s="1"/>
  <c r="C11" i="7"/>
  <c r="G10" i="7"/>
  <c r="N53" i="7" s="1" a="1"/>
  <c r="N53" i="7" s="1"/>
  <c r="C10" i="7"/>
  <c r="G9" i="7"/>
  <c r="C9" i="7"/>
  <c r="G8" i="7"/>
  <c r="G35" i="7" s="1"/>
  <c r="C8" i="7"/>
  <c r="B3" i="7"/>
  <c r="F46" i="6"/>
  <c r="G45" i="6" s="1"/>
  <c r="E45" i="6"/>
  <c r="D45" i="6"/>
  <c r="C45" i="6"/>
  <c r="G44" i="6"/>
  <c r="H44" i="6" s="1"/>
  <c r="I44" i="6" s="1"/>
  <c r="E44" i="6"/>
  <c r="D44" i="6"/>
  <c r="C44" i="6"/>
  <c r="G43" i="6"/>
  <c r="E43" i="6"/>
  <c r="D43" i="6"/>
  <c r="C43" i="6"/>
  <c r="G42" i="6"/>
  <c r="E42" i="6"/>
  <c r="D42" i="6"/>
  <c r="C42" i="6"/>
  <c r="G41" i="6"/>
  <c r="E41" i="6"/>
  <c r="D41" i="6"/>
  <c r="C41" i="6"/>
  <c r="G40" i="6"/>
  <c r="H40" i="6" s="1"/>
  <c r="I40" i="6" s="1"/>
  <c r="E40" i="6"/>
  <c r="D40" i="6"/>
  <c r="C40" i="6"/>
  <c r="G39" i="6"/>
  <c r="E39" i="6"/>
  <c r="D39" i="6"/>
  <c r="C39" i="6"/>
  <c r="G38" i="6"/>
  <c r="E38" i="6"/>
  <c r="D38" i="6"/>
  <c r="C38" i="6"/>
  <c r="G37" i="6"/>
  <c r="E37" i="6"/>
  <c r="D37" i="6"/>
  <c r="C37" i="6"/>
  <c r="G36" i="6"/>
  <c r="H36" i="6" s="1"/>
  <c r="I36" i="6" s="1"/>
  <c r="E36" i="6"/>
  <c r="D36" i="6"/>
  <c r="C36" i="6"/>
  <c r="G35" i="6"/>
  <c r="E35" i="6"/>
  <c r="D35" i="6"/>
  <c r="C35" i="6"/>
  <c r="G34" i="6"/>
  <c r="E34" i="6"/>
  <c r="D34" i="6"/>
  <c r="C34" i="6"/>
  <c r="G33" i="6"/>
  <c r="E33" i="6"/>
  <c r="D33" i="6"/>
  <c r="C33" i="6"/>
  <c r="G32" i="6"/>
  <c r="H32" i="6" s="1"/>
  <c r="I32" i="6" s="1"/>
  <c r="E32" i="6"/>
  <c r="D32" i="6"/>
  <c r="C32" i="6"/>
  <c r="G31" i="6"/>
  <c r="E31" i="6"/>
  <c r="D31" i="6"/>
  <c r="C31" i="6"/>
  <c r="G30" i="6"/>
  <c r="E30" i="6"/>
  <c r="D30" i="6"/>
  <c r="C30" i="6"/>
  <c r="G29" i="6"/>
  <c r="E29" i="6"/>
  <c r="D29" i="6"/>
  <c r="C29" i="6"/>
  <c r="G28" i="6"/>
  <c r="H28" i="6" s="1"/>
  <c r="I28" i="6" s="1"/>
  <c r="E28" i="6"/>
  <c r="D28" i="6"/>
  <c r="C28" i="6"/>
  <c r="G27" i="6"/>
  <c r="E27" i="6"/>
  <c r="D27" i="6"/>
  <c r="C27" i="6"/>
  <c r="G26" i="6"/>
  <c r="E26" i="6"/>
  <c r="D26" i="6"/>
  <c r="C26" i="6"/>
  <c r="G25" i="6"/>
  <c r="E25" i="6"/>
  <c r="D25" i="6"/>
  <c r="C25" i="6"/>
  <c r="G24" i="6"/>
  <c r="E24" i="6"/>
  <c r="D24" i="6"/>
  <c r="C24" i="6"/>
  <c r="G23" i="6"/>
  <c r="E23" i="6"/>
  <c r="D23" i="6"/>
  <c r="C23" i="6"/>
  <c r="G22" i="6"/>
  <c r="E22" i="6"/>
  <c r="D22" i="6"/>
  <c r="C22" i="6"/>
  <c r="G21" i="6"/>
  <c r="E21" i="6"/>
  <c r="D21" i="6"/>
  <c r="C21" i="6"/>
  <c r="G20" i="6"/>
  <c r="E20" i="6"/>
  <c r="D20" i="6"/>
  <c r="C20" i="6"/>
  <c r="G19" i="6"/>
  <c r="E19" i="6"/>
  <c r="D19" i="6"/>
  <c r="C19" i="6"/>
  <c r="G18" i="6"/>
  <c r="E18" i="6"/>
  <c r="D18" i="6"/>
  <c r="C18" i="6"/>
  <c r="G17" i="6"/>
  <c r="E17" i="6"/>
  <c r="D17" i="6"/>
  <c r="C17" i="6"/>
  <c r="G16" i="6"/>
  <c r="E16" i="6"/>
  <c r="D16" i="6"/>
  <c r="C16" i="6"/>
  <c r="G15" i="6"/>
  <c r="E15" i="6"/>
  <c r="D15" i="6"/>
  <c r="C15" i="6"/>
  <c r="G14" i="6"/>
  <c r="E14" i="6"/>
  <c r="D14" i="6"/>
  <c r="C14" i="6"/>
  <c r="G13" i="6"/>
  <c r="E13" i="6"/>
  <c r="D13" i="6"/>
  <c r="C13" i="6"/>
  <c r="G12" i="6"/>
  <c r="E12" i="6"/>
  <c r="D12" i="6"/>
  <c r="C12" i="6"/>
  <c r="G11" i="6"/>
  <c r="E11" i="6"/>
  <c r="D11" i="6"/>
  <c r="C11" i="6"/>
  <c r="G10" i="6"/>
  <c r="E10" i="6"/>
  <c r="D10" i="6"/>
  <c r="D46" i="6" s="1"/>
  <c r="C10" i="6"/>
  <c r="G9" i="6"/>
  <c r="G46" i="6" s="1"/>
  <c r="E9" i="6"/>
  <c r="E46" i="6" s="1"/>
  <c r="D9" i="6"/>
  <c r="C9" i="6"/>
  <c r="C46" i="6" s="1"/>
  <c r="F6" i="6"/>
  <c r="B3" i="6"/>
  <c r="H46" i="5"/>
  <c r="G46" i="5"/>
  <c r="F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B5" i="4"/>
  <c r="B4" i="4"/>
  <c r="J3" i="4"/>
  <c r="I2" i="4"/>
  <c r="I3" i="4" s="1"/>
  <c r="I1" i="4"/>
  <c r="B48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Q40" i="1" s="1"/>
  <c r="P39" i="1"/>
  <c r="O39" i="1"/>
  <c r="N39" i="1"/>
  <c r="M39" i="1"/>
  <c r="L39" i="1"/>
  <c r="K39" i="1"/>
  <c r="J39" i="1"/>
  <c r="I39" i="1"/>
  <c r="H39" i="1"/>
  <c r="G39" i="1"/>
  <c r="F39" i="1"/>
  <c r="E39" i="1"/>
  <c r="Q39" i="1" s="1"/>
  <c r="P38" i="1"/>
  <c r="O38" i="1"/>
  <c r="N38" i="1"/>
  <c r="M38" i="1"/>
  <c r="L38" i="1"/>
  <c r="K38" i="1"/>
  <c r="J38" i="1"/>
  <c r="I38" i="1"/>
  <c r="H38" i="1"/>
  <c r="G38" i="1"/>
  <c r="F38" i="1"/>
  <c r="Q38" i="1" s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Q37" i="1" s="1"/>
  <c r="P36" i="1"/>
  <c r="O36" i="1"/>
  <c r="N36" i="1"/>
  <c r="M36" i="1"/>
  <c r="L36" i="1"/>
  <c r="K36" i="1"/>
  <c r="J36" i="1"/>
  <c r="I36" i="1"/>
  <c r="H36" i="1"/>
  <c r="G36" i="1"/>
  <c r="F36" i="1"/>
  <c r="Q36" i="1" s="1"/>
  <c r="E36" i="1"/>
  <c r="P35" i="1"/>
  <c r="O35" i="1"/>
  <c r="N35" i="1"/>
  <c r="M35" i="1"/>
  <c r="L35" i="1"/>
  <c r="K35" i="1"/>
  <c r="J35" i="1"/>
  <c r="I35" i="1"/>
  <c r="H35" i="1"/>
  <c r="G35" i="1"/>
  <c r="Q35" i="1" s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Q34" i="1" s="1"/>
  <c r="P33" i="1"/>
  <c r="O33" i="1"/>
  <c r="N33" i="1"/>
  <c r="M33" i="1"/>
  <c r="L33" i="1"/>
  <c r="K33" i="1"/>
  <c r="J33" i="1"/>
  <c r="I33" i="1"/>
  <c r="Q33" i="1" s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Q32" i="1" s="1"/>
  <c r="P31" i="1"/>
  <c r="O31" i="1"/>
  <c r="N31" i="1"/>
  <c r="M31" i="1"/>
  <c r="L31" i="1"/>
  <c r="K31" i="1"/>
  <c r="J31" i="1"/>
  <c r="I31" i="1"/>
  <c r="H31" i="1"/>
  <c r="G31" i="1"/>
  <c r="F31" i="1"/>
  <c r="E31" i="1"/>
  <c r="Q31" i="1" s="1"/>
  <c r="P30" i="1"/>
  <c r="O30" i="1"/>
  <c r="N30" i="1"/>
  <c r="M30" i="1"/>
  <c r="L30" i="1"/>
  <c r="K30" i="1"/>
  <c r="J30" i="1"/>
  <c r="I30" i="1"/>
  <c r="H30" i="1"/>
  <c r="G30" i="1"/>
  <c r="F30" i="1"/>
  <c r="Q30" i="1" s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Q29" i="1" s="1"/>
  <c r="P28" i="1"/>
  <c r="O28" i="1"/>
  <c r="N28" i="1"/>
  <c r="M28" i="1"/>
  <c r="L28" i="1"/>
  <c r="K28" i="1"/>
  <c r="J28" i="1"/>
  <c r="I28" i="1"/>
  <c r="H28" i="1"/>
  <c r="G28" i="1"/>
  <c r="F28" i="1"/>
  <c r="Q28" i="1" s="1"/>
  <c r="E28" i="1"/>
  <c r="P27" i="1"/>
  <c r="O27" i="1"/>
  <c r="N27" i="1"/>
  <c r="M27" i="1"/>
  <c r="L27" i="1"/>
  <c r="K27" i="1"/>
  <c r="J27" i="1"/>
  <c r="I27" i="1"/>
  <c r="H27" i="1"/>
  <c r="G27" i="1"/>
  <c r="Q27" i="1" s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Q26" i="1" s="1"/>
  <c r="P25" i="1"/>
  <c r="O25" i="1"/>
  <c r="N25" i="1"/>
  <c r="M25" i="1"/>
  <c r="L25" i="1"/>
  <c r="K25" i="1"/>
  <c r="J25" i="1"/>
  <c r="I25" i="1"/>
  <c r="Q25" i="1" s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Q24" i="1" s="1"/>
  <c r="P23" i="1"/>
  <c r="O23" i="1"/>
  <c r="N23" i="1"/>
  <c r="M23" i="1"/>
  <c r="L23" i="1"/>
  <c r="K23" i="1"/>
  <c r="J23" i="1"/>
  <c r="I23" i="1"/>
  <c r="H23" i="1"/>
  <c r="G23" i="1"/>
  <c r="Q23" i="1" s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Q22" i="1" s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Q21" i="1" s="1"/>
  <c r="P20" i="1"/>
  <c r="O20" i="1"/>
  <c r="N20" i="1"/>
  <c r="M20" i="1"/>
  <c r="L20" i="1"/>
  <c r="K20" i="1"/>
  <c r="J20" i="1"/>
  <c r="I20" i="1"/>
  <c r="H20" i="1"/>
  <c r="G20" i="1"/>
  <c r="F20" i="1"/>
  <c r="Q20" i="1" s="1"/>
  <c r="E20" i="1"/>
  <c r="P19" i="1"/>
  <c r="O19" i="1"/>
  <c r="N19" i="1"/>
  <c r="M19" i="1"/>
  <c r="L19" i="1"/>
  <c r="K19" i="1"/>
  <c r="J19" i="1"/>
  <c r="I19" i="1"/>
  <c r="H19" i="1"/>
  <c r="G19" i="1"/>
  <c r="Q19" i="1" s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Q18" i="1" s="1"/>
  <c r="P17" i="1"/>
  <c r="O17" i="1"/>
  <c r="N17" i="1"/>
  <c r="M17" i="1"/>
  <c r="L17" i="1"/>
  <c r="K17" i="1"/>
  <c r="J17" i="1"/>
  <c r="I17" i="1"/>
  <c r="Q17" i="1" s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s="1"/>
  <c r="P15" i="1"/>
  <c r="O15" i="1"/>
  <c r="N15" i="1"/>
  <c r="M15" i="1"/>
  <c r="L15" i="1"/>
  <c r="K15" i="1"/>
  <c r="J15" i="1"/>
  <c r="I15" i="1"/>
  <c r="H15" i="1"/>
  <c r="G15" i="1"/>
  <c r="F15" i="1"/>
  <c r="E15" i="1"/>
  <c r="Q15" i="1" s="1"/>
  <c r="P14" i="1"/>
  <c r="O14" i="1"/>
  <c r="N14" i="1"/>
  <c r="M14" i="1"/>
  <c r="L14" i="1"/>
  <c r="K14" i="1"/>
  <c r="J14" i="1"/>
  <c r="I14" i="1"/>
  <c r="H14" i="1"/>
  <c r="G14" i="1"/>
  <c r="F14" i="1"/>
  <c r="Q14" i="1" s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Q13" i="1" s="1"/>
  <c r="P12" i="1"/>
  <c r="O12" i="1"/>
  <c r="N12" i="1"/>
  <c r="M12" i="1"/>
  <c r="L12" i="1"/>
  <c r="K12" i="1"/>
  <c r="J12" i="1"/>
  <c r="I12" i="1"/>
  <c r="H12" i="1"/>
  <c r="G12" i="1"/>
  <c r="F12" i="1"/>
  <c r="Q12" i="1" s="1"/>
  <c r="E12" i="1"/>
  <c r="P11" i="1"/>
  <c r="O11" i="1"/>
  <c r="N11" i="1"/>
  <c r="M11" i="1"/>
  <c r="L11" i="1"/>
  <c r="K11" i="1"/>
  <c r="J11" i="1"/>
  <c r="I11" i="1"/>
  <c r="H11" i="1"/>
  <c r="G11" i="1"/>
  <c r="Q11" i="1" s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Q10" i="1" s="1"/>
  <c r="P9" i="1"/>
  <c r="O9" i="1"/>
  <c r="N9" i="1"/>
  <c r="M9" i="1"/>
  <c r="L9" i="1"/>
  <c r="K9" i="1"/>
  <c r="J9" i="1"/>
  <c r="I9" i="1"/>
  <c r="Q9" i="1" s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Q8" i="1" s="1"/>
  <c r="P7" i="1"/>
  <c r="P41" i="1" s="1"/>
  <c r="O7" i="1"/>
  <c r="O41" i="1" s="1"/>
  <c r="N7" i="1"/>
  <c r="N41" i="1" s="1"/>
  <c r="M7" i="1"/>
  <c r="M41" i="1" s="1"/>
  <c r="L7" i="1"/>
  <c r="L41" i="1" s="1"/>
  <c r="K7" i="1"/>
  <c r="K41" i="1" s="1"/>
  <c r="J7" i="1"/>
  <c r="J41" i="1" s="1"/>
  <c r="I7" i="1"/>
  <c r="I41" i="1" s="1"/>
  <c r="H7" i="1"/>
  <c r="H41" i="1" s="1"/>
  <c r="G7" i="1"/>
  <c r="G41" i="1" s="1"/>
  <c r="F7" i="1"/>
  <c r="F41" i="1" s="1"/>
  <c r="E7" i="1"/>
  <c r="E41" i="1" s="1"/>
  <c r="P6" i="1"/>
  <c r="O6" i="1"/>
  <c r="N6" i="1"/>
  <c r="M6" i="1"/>
  <c r="L6" i="1"/>
  <c r="K6" i="1"/>
  <c r="J6" i="1"/>
  <c r="I6" i="1"/>
  <c r="H6" i="1"/>
  <c r="G6" i="1"/>
  <c r="F6" i="1"/>
  <c r="E6" i="1"/>
  <c r="C54" i="7" l="1" a="1"/>
  <c r="C54" i="7" s="1"/>
  <c r="G54" i="7" a="1"/>
  <c r="G54" i="7" s="1"/>
  <c r="K54" i="7" a="1"/>
  <c r="K54" i="7" s="1"/>
  <c r="O54" i="7" a="1"/>
  <c r="O54" i="7" s="1"/>
  <c r="D56" i="7" a="1"/>
  <c r="D56" i="7" s="1"/>
  <c r="H56" i="7" a="1"/>
  <c r="H56" i="7" s="1"/>
  <c r="L56" i="7" a="1"/>
  <c r="L56" i="7" s="1"/>
  <c r="P56" i="7" a="1"/>
  <c r="P56" i="7" s="1"/>
  <c r="E58" i="7" a="1"/>
  <c r="E58" i="7" s="1"/>
  <c r="I58" i="7" a="1"/>
  <c r="I58" i="7" s="1"/>
  <c r="M58" i="7" a="1"/>
  <c r="M58" i="7" s="1"/>
  <c r="Q58" i="7" a="1"/>
  <c r="Q58" i="7" s="1"/>
  <c r="F60" i="7" a="1"/>
  <c r="F60" i="7" s="1"/>
  <c r="J60" i="7" a="1"/>
  <c r="J60" i="7" s="1"/>
  <c r="N60" i="7" a="1"/>
  <c r="N60" i="7" s="1"/>
  <c r="C62" i="7" a="1"/>
  <c r="C62" i="7" s="1"/>
  <c r="G62" i="7" a="1"/>
  <c r="G62" i="7" s="1"/>
  <c r="K62" i="7" a="1"/>
  <c r="K62" i="7" s="1"/>
  <c r="O62" i="7" a="1"/>
  <c r="O62" i="7" s="1"/>
  <c r="D64" i="7" a="1"/>
  <c r="D64" i="7" s="1"/>
  <c r="H64" i="7" a="1"/>
  <c r="H64" i="7" s="1"/>
  <c r="L64" i="7" a="1"/>
  <c r="L64" i="7" s="1"/>
  <c r="P64" i="7" a="1"/>
  <c r="P64" i="7" s="1"/>
  <c r="C53" i="7" a="1"/>
  <c r="C53" i="7" s="1"/>
  <c r="G53" i="7" a="1"/>
  <c r="G53" i="7" s="1"/>
  <c r="K53" i="7" a="1"/>
  <c r="K53" i="7" s="1"/>
  <c r="O53" i="7" a="1"/>
  <c r="O53" i="7" s="1"/>
  <c r="D55" i="7" a="1"/>
  <c r="D55" i="7" s="1"/>
  <c r="H55" i="7" a="1"/>
  <c r="H55" i="7" s="1"/>
  <c r="L55" i="7" a="1"/>
  <c r="L55" i="7" s="1"/>
  <c r="P55" i="7" a="1"/>
  <c r="P55" i="7" s="1"/>
  <c r="E57" i="7" a="1"/>
  <c r="E57" i="7" s="1"/>
  <c r="I57" i="7" a="1"/>
  <c r="I57" i="7" s="1"/>
  <c r="M57" i="7" a="1"/>
  <c r="M57" i="7" s="1"/>
  <c r="Q57" i="7" a="1"/>
  <c r="Q57" i="7" s="1"/>
  <c r="F59" i="7" a="1"/>
  <c r="F59" i="7" s="1"/>
  <c r="J59" i="7" a="1"/>
  <c r="J59" i="7" s="1"/>
  <c r="N59" i="7" a="1"/>
  <c r="N59" i="7" s="1"/>
  <c r="C61" i="7" a="1"/>
  <c r="C61" i="7" s="1"/>
  <c r="G61" i="7" a="1"/>
  <c r="G61" i="7" s="1"/>
  <c r="K61" i="7" a="1"/>
  <c r="K61" i="7" s="1"/>
  <c r="O61" i="7" a="1"/>
  <c r="O61" i="7" s="1"/>
  <c r="D63" i="7" a="1"/>
  <c r="D63" i="7" s="1"/>
  <c r="H63" i="7" a="1"/>
  <c r="H63" i="7" s="1"/>
  <c r="L63" i="7" a="1"/>
  <c r="L63" i="7" s="1"/>
  <c r="P63" i="7" a="1"/>
  <c r="P63" i="7" s="1"/>
  <c r="D54" i="7" a="1"/>
  <c r="D54" i="7" s="1"/>
  <c r="H54" i="7" a="1"/>
  <c r="H54" i="7" s="1"/>
  <c r="L54" i="7" a="1"/>
  <c r="L54" i="7" s="1"/>
  <c r="P54" i="7" a="1"/>
  <c r="P54" i="7" s="1"/>
  <c r="E56" i="7" a="1"/>
  <c r="E56" i="7" s="1"/>
  <c r="I56" i="7" a="1"/>
  <c r="I56" i="7" s="1"/>
  <c r="M56" i="7" a="1"/>
  <c r="M56" i="7" s="1"/>
  <c r="Q56" i="7" a="1"/>
  <c r="Q56" i="7" s="1"/>
  <c r="F58" i="7" a="1"/>
  <c r="F58" i="7" s="1"/>
  <c r="J58" i="7" a="1"/>
  <c r="J58" i="7" s="1"/>
  <c r="N58" i="7" a="1"/>
  <c r="N58" i="7" s="1"/>
  <c r="C60" i="7" a="1"/>
  <c r="C60" i="7" s="1"/>
  <c r="G60" i="7" a="1"/>
  <c r="G60" i="7" s="1"/>
  <c r="K60" i="7" a="1"/>
  <c r="K60" i="7" s="1"/>
  <c r="O60" i="7" a="1"/>
  <c r="O60" i="7" s="1"/>
  <c r="D62" i="7" a="1"/>
  <c r="D62" i="7" s="1"/>
  <c r="H62" i="7" a="1"/>
  <c r="H62" i="7" s="1"/>
  <c r="L62" i="7" a="1"/>
  <c r="L62" i="7" s="1"/>
  <c r="P62" i="7" a="1"/>
  <c r="P62" i="7" s="1"/>
  <c r="E64" i="7" a="1"/>
  <c r="E64" i="7" s="1"/>
  <c r="I64" i="7" a="1"/>
  <c r="I64" i="7" s="1"/>
  <c r="M64" i="7" a="1"/>
  <c r="M64" i="7" s="1"/>
  <c r="Q64" i="7" a="1"/>
  <c r="Q64" i="7" s="1"/>
  <c r="D53" i="7" a="1"/>
  <c r="D53" i="7" s="1"/>
  <c r="H53" i="7" a="1"/>
  <c r="H53" i="7" s="1"/>
  <c r="L53" i="7" a="1"/>
  <c r="L53" i="7" s="1"/>
  <c r="P53" i="7" a="1"/>
  <c r="P53" i="7" s="1"/>
  <c r="E55" i="7" a="1"/>
  <c r="E55" i="7" s="1"/>
  <c r="I55" i="7" a="1"/>
  <c r="I55" i="7" s="1"/>
  <c r="M55" i="7" a="1"/>
  <c r="M55" i="7" s="1"/>
  <c r="Q55" i="7" a="1"/>
  <c r="Q55" i="7" s="1"/>
  <c r="F57" i="7" a="1"/>
  <c r="F57" i="7" s="1"/>
  <c r="J57" i="7" a="1"/>
  <c r="J57" i="7" s="1"/>
  <c r="N57" i="7" a="1"/>
  <c r="N57" i="7" s="1"/>
  <c r="C59" i="7" a="1"/>
  <c r="C59" i="7" s="1"/>
  <c r="G59" i="7" a="1"/>
  <c r="G59" i="7" s="1"/>
  <c r="K59" i="7" a="1"/>
  <c r="K59" i="7" s="1"/>
  <c r="O59" i="7" a="1"/>
  <c r="O59" i="7" s="1"/>
  <c r="D61" i="7" a="1"/>
  <c r="D61" i="7" s="1"/>
  <c r="H61" i="7" a="1"/>
  <c r="H61" i="7" s="1"/>
  <c r="L61" i="7" a="1"/>
  <c r="L61" i="7" s="1"/>
  <c r="P61" i="7" a="1"/>
  <c r="P61" i="7" s="1"/>
  <c r="E63" i="7" a="1"/>
  <c r="E63" i="7" s="1"/>
  <c r="I63" i="7" a="1"/>
  <c r="I63" i="7" s="1"/>
  <c r="M63" i="7" a="1"/>
  <c r="M63" i="7" s="1"/>
  <c r="Q63" i="7" a="1"/>
  <c r="Q63" i="7" s="1"/>
  <c r="E54" i="7" a="1"/>
  <c r="E54" i="7" s="1"/>
  <c r="I54" i="7" a="1"/>
  <c r="I54" i="7" s="1"/>
  <c r="M54" i="7" a="1"/>
  <c r="M54" i="7" s="1"/>
  <c r="Q54" i="7" a="1"/>
  <c r="Q54" i="7" s="1"/>
  <c r="F56" i="7" a="1"/>
  <c r="F56" i="7" s="1"/>
  <c r="J56" i="7" a="1"/>
  <c r="J56" i="7" s="1"/>
  <c r="N56" i="7" a="1"/>
  <c r="N56" i="7" s="1"/>
  <c r="C58" i="7" a="1"/>
  <c r="C58" i="7" s="1"/>
  <c r="G58" i="7" a="1"/>
  <c r="G58" i="7" s="1"/>
  <c r="K58" i="7" a="1"/>
  <c r="K58" i="7" s="1"/>
  <c r="O58" i="7" a="1"/>
  <c r="O58" i="7" s="1"/>
  <c r="D60" i="7" a="1"/>
  <c r="D60" i="7" s="1"/>
  <c r="H60" i="7" a="1"/>
  <c r="H60" i="7" s="1"/>
  <c r="L60" i="7" a="1"/>
  <c r="L60" i="7" s="1"/>
  <c r="P60" i="7" a="1"/>
  <c r="P60" i="7" s="1"/>
  <c r="E62" i="7" a="1"/>
  <c r="E62" i="7" s="1"/>
  <c r="I62" i="7" a="1"/>
  <c r="I62" i="7" s="1"/>
  <c r="M62" i="7" a="1"/>
  <c r="M62" i="7" s="1"/>
  <c r="Q62" i="7" a="1"/>
  <c r="Q62" i="7" s="1"/>
  <c r="F64" i="7" a="1"/>
  <c r="F64" i="7" s="1"/>
  <c r="J64" i="7" a="1"/>
  <c r="J64" i="7" s="1"/>
  <c r="N64" i="7" a="1"/>
  <c r="N64" i="7" s="1"/>
  <c r="J6" i="7" a="1"/>
  <c r="J6" i="7" s="1"/>
  <c r="E53" i="7" a="1"/>
  <c r="E53" i="7" s="1"/>
  <c r="I53" i="7" a="1"/>
  <c r="I53" i="7" s="1"/>
  <c r="M53" i="7" a="1"/>
  <c r="M53" i="7" s="1"/>
  <c r="Q53" i="7" a="1"/>
  <c r="Q53" i="7" s="1"/>
  <c r="F55" i="7" a="1"/>
  <c r="F55" i="7" s="1"/>
  <c r="J55" i="7" a="1"/>
  <c r="J55" i="7" s="1"/>
  <c r="N55" i="7" a="1"/>
  <c r="N55" i="7" s="1"/>
  <c r="N65" i="7" s="1"/>
  <c r="C57" i="7" a="1"/>
  <c r="C57" i="7" s="1"/>
  <c r="G57" i="7" a="1"/>
  <c r="G57" i="7" s="1"/>
  <c r="K57" i="7" a="1"/>
  <c r="K57" i="7" s="1"/>
  <c r="O57" i="7" a="1"/>
  <c r="O57" i="7" s="1"/>
  <c r="D59" i="7" a="1"/>
  <c r="D59" i="7" s="1"/>
  <c r="H59" i="7" a="1"/>
  <c r="H59" i="7" s="1"/>
  <c r="L59" i="7" a="1"/>
  <c r="L59" i="7" s="1"/>
  <c r="P59" i="7" a="1"/>
  <c r="P59" i="7" s="1"/>
  <c r="E61" i="7" a="1"/>
  <c r="E61" i="7" s="1"/>
  <c r="I61" i="7" a="1"/>
  <c r="I61" i="7" s="1"/>
  <c r="M61" i="7" a="1"/>
  <c r="M61" i="7" s="1"/>
  <c r="Q61" i="7" a="1"/>
  <c r="Q61" i="7" s="1"/>
  <c r="F63" i="7" a="1"/>
  <c r="F63" i="7" s="1"/>
  <c r="J63" i="7" a="1"/>
  <c r="J63" i="7" s="1"/>
  <c r="N63" i="7" a="1"/>
  <c r="N63" i="7" s="1"/>
  <c r="R67" i="7"/>
  <c r="F54" i="7" a="1"/>
  <c r="F54" i="7" s="1"/>
  <c r="J54" i="7" a="1"/>
  <c r="J54" i="7" s="1"/>
  <c r="C56" i="7" a="1"/>
  <c r="C56" i="7" s="1"/>
  <c r="R56" i="7" s="1"/>
  <c r="G56" i="7" a="1"/>
  <c r="G56" i="7" s="1"/>
  <c r="K56" i="7" a="1"/>
  <c r="K56" i="7" s="1"/>
  <c r="D58" i="7" a="1"/>
  <c r="D58" i="7" s="1"/>
  <c r="H58" i="7" a="1"/>
  <c r="H58" i="7" s="1"/>
  <c r="L58" i="7" a="1"/>
  <c r="L58" i="7" s="1"/>
  <c r="E60" i="7" a="1"/>
  <c r="E60" i="7" s="1"/>
  <c r="I60" i="7" a="1"/>
  <c r="I60" i="7" s="1"/>
  <c r="M60" i="7" a="1"/>
  <c r="M60" i="7" s="1"/>
  <c r="F62" i="7" a="1"/>
  <c r="F62" i="7" s="1"/>
  <c r="J62" i="7" a="1"/>
  <c r="J62" i="7" s="1"/>
  <c r="C64" i="7" a="1"/>
  <c r="C64" i="7" s="1"/>
  <c r="G64" i="7" a="1"/>
  <c r="G64" i="7" s="1"/>
  <c r="K64" i="7" a="1"/>
  <c r="K64" i="7" s="1"/>
  <c r="F53" i="7" a="1"/>
  <c r="F53" i="7" s="1"/>
  <c r="J53" i="7" a="1"/>
  <c r="J53" i="7" s="1"/>
  <c r="C55" i="7" a="1"/>
  <c r="C55" i="7" s="1"/>
  <c r="R55" i="7" s="1"/>
  <c r="G55" i="7" a="1"/>
  <c r="G55" i="7" s="1"/>
  <c r="K55" i="7" a="1"/>
  <c r="K55" i="7" s="1"/>
  <c r="D57" i="7" a="1"/>
  <c r="D57" i="7" s="1"/>
  <c r="H57" i="7" a="1"/>
  <c r="H57" i="7" s="1"/>
  <c r="L57" i="7" a="1"/>
  <c r="L57" i="7" s="1"/>
  <c r="E59" i="7" a="1"/>
  <c r="E59" i="7" s="1"/>
  <c r="I59" i="7" a="1"/>
  <c r="I59" i="7" s="1"/>
  <c r="M59" i="7" a="1"/>
  <c r="M59" i="7" s="1"/>
  <c r="F61" i="7" a="1"/>
  <c r="F61" i="7" s="1"/>
  <c r="J61" i="7" a="1"/>
  <c r="J61" i="7" s="1"/>
  <c r="C63" i="7" a="1"/>
  <c r="C63" i="7" s="1"/>
  <c r="G63" i="7" a="1"/>
  <c r="G63" i="7" s="1"/>
  <c r="K63" i="7" a="1"/>
  <c r="K63" i="7" s="1"/>
  <c r="I38" i="6"/>
  <c r="I14" i="6"/>
  <c r="I30" i="6"/>
  <c r="I42" i="6"/>
  <c r="H41" i="6"/>
  <c r="I41" i="6" s="1"/>
  <c r="H37" i="6"/>
  <c r="I37" i="6" s="1"/>
  <c r="H33" i="6"/>
  <c r="I33" i="6" s="1"/>
  <c r="H29" i="6"/>
  <c r="H25" i="6"/>
  <c r="H21" i="6"/>
  <c r="I21" i="6" s="1"/>
  <c r="H17" i="6"/>
  <c r="I17" i="6" s="1"/>
  <c r="H13" i="6"/>
  <c r="H9" i="6"/>
  <c r="H42" i="6"/>
  <c r="H38" i="6"/>
  <c r="H34" i="6"/>
  <c r="I34" i="6" s="1"/>
  <c r="H30" i="6"/>
  <c r="H26" i="6"/>
  <c r="I26" i="6" s="1"/>
  <c r="H22" i="6"/>
  <c r="I22" i="6" s="1"/>
  <c r="H18" i="6"/>
  <c r="I18" i="6" s="1"/>
  <c r="H14" i="6"/>
  <c r="H10" i="6"/>
  <c r="I10" i="6" s="1"/>
  <c r="H24" i="6"/>
  <c r="I24" i="6" s="1"/>
  <c r="H20" i="6"/>
  <c r="I20" i="6" s="1"/>
  <c r="H16" i="6"/>
  <c r="I16" i="6" s="1"/>
  <c r="H12" i="6"/>
  <c r="I12" i="6" s="1"/>
  <c r="I11" i="6"/>
  <c r="I13" i="6"/>
  <c r="I23" i="6"/>
  <c r="I25" i="6"/>
  <c r="I27" i="6"/>
  <c r="I29" i="6"/>
  <c r="H11" i="6"/>
  <c r="H15" i="6"/>
  <c r="I15" i="6" s="1"/>
  <c r="H19" i="6"/>
  <c r="I19" i="6" s="1"/>
  <c r="H23" i="6"/>
  <c r="H27" i="6"/>
  <c r="H31" i="6"/>
  <c r="I31" i="6" s="1"/>
  <c r="H35" i="6"/>
  <c r="I35" i="6" s="1"/>
  <c r="H39" i="6"/>
  <c r="I39" i="6" s="1"/>
  <c r="H43" i="6"/>
  <c r="I43" i="6" s="1"/>
  <c r="H45" i="6"/>
  <c r="I45" i="6" s="1"/>
  <c r="I9" i="6"/>
  <c r="S26" i="1"/>
  <c r="R26" i="1"/>
  <c r="S34" i="1"/>
  <c r="R34" i="1"/>
  <c r="S40" i="1"/>
  <c r="R40" i="1"/>
  <c r="S18" i="1"/>
  <c r="R18" i="1"/>
  <c r="R25" i="1"/>
  <c r="S25" i="1"/>
  <c r="S28" i="1"/>
  <c r="R28" i="1"/>
  <c r="S38" i="1"/>
  <c r="R38" i="1"/>
  <c r="S32" i="1"/>
  <c r="R32" i="1"/>
  <c r="S16" i="1"/>
  <c r="R16" i="1"/>
  <c r="S24" i="1"/>
  <c r="R24" i="1"/>
  <c r="S14" i="1"/>
  <c r="R14" i="1"/>
  <c r="S36" i="1"/>
  <c r="R36" i="1"/>
  <c r="R9" i="1"/>
  <c r="S9" i="1"/>
  <c r="R17" i="1"/>
  <c r="S17" i="1"/>
  <c r="S12" i="1"/>
  <c r="R12" i="1"/>
  <c r="S22" i="1"/>
  <c r="R22" i="1"/>
  <c r="S13" i="1"/>
  <c r="R13" i="1"/>
  <c r="R15" i="1"/>
  <c r="S15" i="1"/>
  <c r="S29" i="1"/>
  <c r="R29" i="1"/>
  <c r="S31" i="1"/>
  <c r="R31" i="1"/>
  <c r="S37" i="1"/>
  <c r="R37" i="1"/>
  <c r="S39" i="1"/>
  <c r="R39" i="1"/>
  <c r="S8" i="1"/>
  <c r="R8" i="1"/>
  <c r="R33" i="1"/>
  <c r="S33" i="1"/>
  <c r="S20" i="1"/>
  <c r="R20" i="1"/>
  <c r="S21" i="1"/>
  <c r="R21" i="1"/>
  <c r="S10" i="1"/>
  <c r="R10" i="1"/>
  <c r="S30" i="1"/>
  <c r="R30" i="1"/>
  <c r="S11" i="1"/>
  <c r="R11" i="1"/>
  <c r="S19" i="1"/>
  <c r="R19" i="1"/>
  <c r="S23" i="1"/>
  <c r="R23" i="1"/>
  <c r="S27" i="1"/>
  <c r="R27" i="1"/>
  <c r="S35" i="1"/>
  <c r="R35" i="1"/>
  <c r="Q7" i="1"/>
  <c r="Q65" i="7" l="1"/>
  <c r="H65" i="7"/>
  <c r="R61" i="7"/>
  <c r="M65" i="7"/>
  <c r="D65" i="7"/>
  <c r="J65" i="7"/>
  <c r="E65" i="7"/>
  <c r="R58" i="7"/>
  <c r="F65" i="7"/>
  <c r="R57" i="7"/>
  <c r="O65" i="7"/>
  <c r="R60" i="7"/>
  <c r="K65" i="7"/>
  <c r="R59" i="7"/>
  <c r="P65" i="7"/>
  <c r="G65" i="7"/>
  <c r="R54" i="7"/>
  <c r="I65" i="7"/>
  <c r="R63" i="7"/>
  <c r="R64" i="7"/>
  <c r="L65" i="7"/>
  <c r="R53" i="7"/>
  <c r="C65" i="7"/>
  <c r="R62" i="7"/>
  <c r="I46" i="6"/>
  <c r="H46" i="6"/>
  <c r="R7" i="1"/>
  <c r="R41" i="1" s="1"/>
  <c r="S7" i="1"/>
  <c r="S41" i="1" s="1"/>
  <c r="S44" i="1" s="1"/>
  <c r="Q41" i="1"/>
  <c r="R65" i="7" l="1"/>
  <c r="S43" i="1"/>
  <c r="S45" i="1" s="1"/>
  <c r="R69" i="7" l="1"/>
  <c r="R68" i="7"/>
  <c r="T12" i="1"/>
  <c r="T18" i="1"/>
  <c r="T24" i="1"/>
  <c r="T39" i="1"/>
  <c r="T37" i="1"/>
  <c r="T35" i="1"/>
  <c r="T10" i="1"/>
  <c r="T16" i="1"/>
  <c r="T31" i="1"/>
  <c r="T29" i="1"/>
  <c r="U29" i="1" s="1"/>
  <c r="T27" i="1"/>
  <c r="U27" i="1" s="1"/>
  <c r="T33" i="1"/>
  <c r="U33" i="1" s="1"/>
  <c r="T8" i="1"/>
  <c r="T25" i="1"/>
  <c r="U25" i="1" s="1"/>
  <c r="T23" i="1"/>
  <c r="T21" i="1"/>
  <c r="T19" i="1"/>
  <c r="T14" i="1"/>
  <c r="T15" i="1"/>
  <c r="T13" i="1"/>
  <c r="U13" i="1" s="1"/>
  <c r="T11" i="1"/>
  <c r="T17" i="1"/>
  <c r="T26" i="1"/>
  <c r="U26" i="1" s="1"/>
  <c r="T7" i="1"/>
  <c r="T36" i="1"/>
  <c r="T22" i="1"/>
  <c r="T9" i="1"/>
  <c r="T32" i="1"/>
  <c r="T38" i="1"/>
  <c r="T28" i="1"/>
  <c r="U28" i="1" s="1"/>
  <c r="T34" i="1"/>
  <c r="T40" i="1"/>
  <c r="T20" i="1"/>
  <c r="T30" i="1"/>
  <c r="U17" i="1" l="1"/>
  <c r="L67" i="1"/>
  <c r="L57" i="1"/>
  <c r="U16" i="1"/>
  <c r="U37" i="1"/>
  <c r="L68" i="1"/>
  <c r="L53" i="1"/>
  <c r="T41" i="1"/>
  <c r="U7" i="1"/>
  <c r="E70" i="1"/>
  <c r="U10" i="1"/>
  <c r="U11" i="1"/>
  <c r="L52" i="1"/>
  <c r="L66" i="1"/>
  <c r="U39" i="1"/>
  <c r="L56" i="1"/>
  <c r="U15" i="1"/>
  <c r="I70" i="1"/>
  <c r="U24" i="1"/>
  <c r="L60" i="1"/>
  <c r="U21" i="1"/>
  <c r="U34" i="1"/>
  <c r="L64" i="1"/>
  <c r="U38" i="1"/>
  <c r="J70" i="1"/>
  <c r="C70" i="1"/>
  <c r="U8" i="1"/>
  <c r="K70" i="1"/>
  <c r="U32" i="1"/>
  <c r="D70" i="1"/>
  <c r="U9" i="1"/>
  <c r="U30" i="1"/>
  <c r="L61" i="1"/>
  <c r="U22" i="1"/>
  <c r="G70" i="1"/>
  <c r="U14" i="1"/>
  <c r="L55" i="1"/>
  <c r="L58" i="1"/>
  <c r="U18" i="1"/>
  <c r="L69" i="1"/>
  <c r="U40" i="1"/>
  <c r="H70" i="1"/>
  <c r="U23" i="1"/>
  <c r="U35" i="1"/>
  <c r="L63" i="1"/>
  <c r="U20" i="1"/>
  <c r="F70" i="1"/>
  <c r="U36" i="1"/>
  <c r="L65" i="1"/>
  <c r="U19" i="1"/>
  <c r="L59" i="1"/>
  <c r="L62" i="1"/>
  <c r="U31" i="1"/>
  <c r="L54" i="1"/>
  <c r="U12" i="1"/>
  <c r="E64" i="1" l="1"/>
  <c r="D64" i="1"/>
  <c r="K64" i="1"/>
  <c r="C64" i="1"/>
  <c r="D53" i="1"/>
  <c r="K53" i="1"/>
  <c r="C53" i="1"/>
  <c r="J53" i="1"/>
  <c r="H56" i="1"/>
  <c r="G56" i="1"/>
  <c r="F56" i="1"/>
  <c r="E56" i="1"/>
  <c r="D56" i="1"/>
  <c r="E58" i="1"/>
  <c r="D58" i="1"/>
  <c r="K58" i="1"/>
  <c r="C58" i="1"/>
  <c r="J58" i="1"/>
  <c r="F58" i="1"/>
  <c r="E66" i="1"/>
  <c r="D66" i="1"/>
  <c r="K66" i="1"/>
  <c r="C66" i="1"/>
  <c r="G66" i="1"/>
  <c r="F66" i="1"/>
  <c r="I68" i="1"/>
  <c r="H68" i="1"/>
  <c r="G68" i="1"/>
  <c r="K68" i="1"/>
  <c r="C68" i="1"/>
  <c r="J68" i="1"/>
  <c r="K63" i="1"/>
  <c r="C63" i="1"/>
  <c r="G63" i="1"/>
  <c r="F63" i="1"/>
  <c r="E63" i="1"/>
  <c r="D63" i="1"/>
  <c r="K55" i="1"/>
  <c r="H55" i="1"/>
  <c r="G55" i="1"/>
  <c r="F55" i="1"/>
  <c r="E55" i="1"/>
  <c r="D55" i="1"/>
  <c r="L70" i="1"/>
  <c r="F64" i="1" s="1"/>
  <c r="G52" i="1"/>
  <c r="F52" i="1"/>
  <c r="E52" i="1"/>
  <c r="D52" i="1"/>
  <c r="K52" i="1"/>
  <c r="G69" i="1"/>
  <c r="F69" i="1"/>
  <c r="E69" i="1"/>
  <c r="D69" i="1"/>
  <c r="K69" i="1"/>
  <c r="C69" i="1"/>
  <c r="H69" i="1"/>
  <c r="E62" i="1"/>
  <c r="D62" i="1"/>
  <c r="K62" i="1"/>
  <c r="C62" i="1"/>
  <c r="J62" i="1"/>
  <c r="G62" i="1"/>
  <c r="F62" i="1"/>
  <c r="I60" i="1"/>
  <c r="H60" i="1"/>
  <c r="G60" i="1"/>
  <c r="F60" i="1"/>
  <c r="K60" i="1"/>
  <c r="C60" i="1"/>
  <c r="J60" i="1"/>
  <c r="E54" i="1"/>
  <c r="D54" i="1"/>
  <c r="K54" i="1"/>
  <c r="I54" i="1"/>
  <c r="H54" i="1"/>
  <c r="G54" i="1"/>
  <c r="F54" i="1"/>
  <c r="K59" i="1"/>
  <c r="C59" i="1"/>
  <c r="H59" i="1"/>
  <c r="G59" i="1"/>
  <c r="F59" i="1"/>
  <c r="E59" i="1"/>
  <c r="D59" i="1"/>
  <c r="G57" i="1"/>
  <c r="D57" i="1"/>
  <c r="K57" i="1"/>
  <c r="C57" i="1"/>
  <c r="J57" i="1"/>
  <c r="I57" i="1"/>
  <c r="H57" i="1"/>
  <c r="J67" i="1"/>
  <c r="I67" i="1"/>
  <c r="H67" i="1"/>
  <c r="G67" i="1"/>
  <c r="F67" i="1"/>
  <c r="E67" i="1"/>
  <c r="D67" i="1"/>
  <c r="G65" i="1"/>
  <c r="F65" i="1"/>
  <c r="E65" i="1"/>
  <c r="D65" i="1"/>
  <c r="K65" i="1"/>
  <c r="C65" i="1"/>
  <c r="J65" i="1"/>
  <c r="I65" i="1"/>
  <c r="H65" i="1"/>
  <c r="G61" i="1"/>
  <c r="F61" i="1"/>
  <c r="E61" i="1"/>
  <c r="D61" i="1"/>
  <c r="K61" i="1"/>
  <c r="C61" i="1"/>
  <c r="J61" i="1"/>
  <c r="I61" i="1"/>
  <c r="H61" i="1"/>
  <c r="U41" i="1"/>
  <c r="E53" i="1" l="1"/>
  <c r="I55" i="1"/>
  <c r="H63" i="1"/>
  <c r="D68" i="1"/>
  <c r="H66" i="1"/>
  <c r="G58" i="1"/>
  <c r="J56" i="1"/>
  <c r="I56" i="1"/>
  <c r="F53" i="1"/>
  <c r="G64" i="1"/>
  <c r="C67" i="1"/>
  <c r="E57" i="1"/>
  <c r="I59" i="1"/>
  <c r="J54" i="1"/>
  <c r="D60" i="1"/>
  <c r="H62" i="1"/>
  <c r="I69" i="1"/>
  <c r="J52" i="1"/>
  <c r="H52" i="1"/>
  <c r="J55" i="1"/>
  <c r="I63" i="1"/>
  <c r="E68" i="1"/>
  <c r="I66" i="1"/>
  <c r="H58" i="1"/>
  <c r="C56" i="1"/>
  <c r="H53" i="1"/>
  <c r="G53" i="1"/>
  <c r="H64" i="1"/>
  <c r="K67" i="1"/>
  <c r="F57" i="1"/>
  <c r="J59" i="1"/>
  <c r="C54" i="1"/>
  <c r="E60" i="1"/>
  <c r="I62" i="1"/>
  <c r="J69" i="1"/>
  <c r="C52" i="1"/>
  <c r="M70" i="1" s="1"/>
  <c r="I52" i="1"/>
  <c r="C55" i="1"/>
  <c r="J63" i="1"/>
  <c r="F68" i="1"/>
  <c r="J66" i="1"/>
  <c r="I58" i="1"/>
  <c r="K56" i="1"/>
  <c r="I53" i="1"/>
  <c r="J64" i="1"/>
  <c r="I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Rubén Osvaldo  Sanhueza Ramirez</author>
  </authors>
  <commentList>
    <comment ref="A27" authorId="0" shapeId="0" xr:uid="{4ED90400-D116-450C-85ED-F6E69719CE9E}">
      <text>
        <r>
          <rPr>
            <sz val="9"/>
            <color indexed="81"/>
            <rFont val="Tahoma"/>
            <family val="2"/>
          </rPr>
          <t>LUZ ANDES se reemplaza por ENEL DISTRIBUCIÓN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55D78A-FEB1-428B-8A0E-5B0A57DDABA9}" name="Consulta - TEE" description="Conexión a la consulta 'TEE' en el libro." type="100" refreshedVersion="7" minRefreshableVersion="5">
    <extLst>
      <ext xmlns:x15="http://schemas.microsoft.com/office/spreadsheetml/2010/11/main" uri="{DE250136-89BD-433C-8126-D09CA5730AF9}">
        <x15:connection id="f529504c-f079-4cc1-97cf-ee69ff1a410a">
          <x15:oledbPr connection="Provider=Microsoft.Mashup.OleDb.1;Data Source=$Workbook$;Location=TEE;Extended Properties=&quot;&quot;">
            <x15:dbTables>
              <x15:dbTable name="TEE"/>
            </x15:dbTables>
          </x15:oledbPr>
        </x15:connection>
      </ext>
    </extLst>
  </connection>
  <connection id="2" xr16:uid="{00000000-0015-0000-FFFF-FFFF08000000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A6AC980-476D-4F4F-98CE-C78BD9BC68EC}" name="WorksheetConnection_Resumen_ETR_2001 (1902-2001)_def.xlsx!RUT" type="102" refreshedVersion="7" minRefreshableVersion="5">
    <extLst>
      <ext xmlns:x15="http://schemas.microsoft.com/office/spreadsheetml/2010/11/main" uri="{DE250136-89BD-433C-8126-D09CA5730AF9}">
        <x15:connection id="RUT-f220b601-0348-4a13-81e7-1c38794d4d30">
          <x15:rangePr sourceName="_xlcn.WorksheetConnection_Resumen_ETR_200119022001_def.xlsxRUT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<sst xmlns="http://schemas.openxmlformats.org/spreadsheetml/2006/main" count="1394" uniqueCount="136">
  <si>
    <t>Reliquidación de Diferencias por Aplicación de FETR</t>
  </si>
  <si>
    <t>Saldo Anterior</t>
  </si>
  <si>
    <t>Ajuste de saldo</t>
  </si>
  <si>
    <t>VDFETR</t>
  </si>
  <si>
    <t>VBFETR</t>
  </si>
  <si>
    <t>Monto a Transferir</t>
  </si>
  <si>
    <t>Saldo</t>
  </si>
  <si>
    <t>Distribuidora</t>
  </si>
  <si>
    <t>[$]</t>
  </si>
  <si>
    <t>Periodo</t>
  </si>
  <si>
    <t>CEC</t>
  </si>
  <si>
    <t>CGE</t>
  </si>
  <si>
    <t>CGED</t>
  </si>
  <si>
    <t>ENEL DISTRIBUCIÓN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</si>
  <si>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</si>
  <si>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</si>
  <si>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</si>
  <si>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</si>
  <si>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</si>
  <si>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</si>
  <si>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</si>
  <si>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</si>
  <si>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</si>
  <si>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DESA</t>
  </si>
  <si>
    <t>EDECSA</t>
  </si>
  <si>
    <t>EDELAYSÉN</t>
  </si>
  <si>
    <t>EDELMAG</t>
  </si>
  <si>
    <t>EEC</t>
  </si>
  <si>
    <t>EEPA</t>
  </si>
  <si>
    <t>ELECDA SIC</t>
  </si>
  <si>
    <t>ELECDA SING</t>
  </si>
  <si>
    <t>ELIQSA</t>
  </si>
  <si>
    <t>EMELARI</t>
  </si>
  <si>
    <t>EMELAT</t>
  </si>
  <si>
    <t>EMELCA</t>
  </si>
  <si>
    <t>FRONTEL</t>
  </si>
  <si>
    <t>LITORAL</t>
  </si>
  <si>
    <t>LUZ ANDES</t>
  </si>
  <si>
    <t>LUZ OSORNO</t>
  </si>
  <si>
    <t>LUZLINARES</t>
  </si>
  <si>
    <t>LUZPARRAL</t>
  </si>
  <si>
    <t>MATAQUITO</t>
  </si>
  <si>
    <t>SAESA</t>
  </si>
  <si>
    <t>SOCOEPA</t>
  </si>
  <si>
    <t>TIL TIL</t>
  </si>
  <si>
    <t>Total general</t>
  </si>
  <si>
    <t>VTDFETR</t>
  </si>
  <si>
    <t>VTBFETR</t>
  </si>
  <si>
    <t>Monto Transferir</t>
  </si>
  <si>
    <t>Cuadro de Pagos Reliquidación Mecanismo ETR (montos en $)</t>
  </si>
  <si>
    <t>Pagan</t>
  </si>
  <si>
    <t>Reciben</t>
  </si>
  <si>
    <t>Total</t>
  </si>
  <si>
    <t>Empresa Distribuidora</t>
  </si>
  <si>
    <t>Mes (Fecha de emisión de factura)</t>
  </si>
  <si>
    <t>Versión</t>
  </si>
  <si>
    <t>pre</t>
  </si>
  <si>
    <t>Libro DP</t>
  </si>
  <si>
    <t>EMPRESA</t>
  </si>
  <si>
    <t>RUT</t>
  </si>
  <si>
    <t>Fecha</t>
  </si>
  <si>
    <t>70.287.900-0</t>
  </si>
  <si>
    <t>76.411.321-7</t>
  </si>
  <si>
    <t>96.800.570-7</t>
  </si>
  <si>
    <t>96.813.520-1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</si>
  <si>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</si>
  <si>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</si>
  <si>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</si>
  <si>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</si>
  <si>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</si>
  <si>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</si>
  <si>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</si>
  <si>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77.504.335-0</t>
  </si>
  <si>
    <t>96.766.110-4</t>
  </si>
  <si>
    <t>88.272.600-2</t>
  </si>
  <si>
    <t>88.221.200-9</t>
  </si>
  <si>
    <t>96.783.910-8</t>
  </si>
  <si>
    <t>80.313.300-K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</si>
  <si>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</si>
  <si>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</si>
  <si>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</si>
  <si>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</si>
  <si>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</si>
  <si>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</si>
  <si>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</si>
  <si>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</si>
  <si>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70.849.500-K</t>
  </si>
  <si>
    <t>76.808.157-3</t>
  </si>
  <si>
    <t>Coordinador:</t>
  </si>
  <si>
    <t>SEN</t>
  </si>
  <si>
    <t>Sistema Eléctrico Nacional</t>
  </si>
  <si>
    <t>Concepto:</t>
  </si>
  <si>
    <t>ETR</t>
  </si>
  <si>
    <t>Equidad Tarifaria</t>
  </si>
  <si>
    <t>Tipo:</t>
  </si>
  <si>
    <t>V001</t>
  </si>
  <si>
    <t>LIQUIDACION</t>
  </si>
  <si>
    <t>Fecha Generaci„n:</t>
  </si>
  <si>
    <t>Fecha Emisi„n:</t>
  </si>
  <si>
    <t>FILA</t>
  </si>
  <si>
    <t>Nemotecnico Deudor</t>
  </si>
  <si>
    <t>RUT Deudor</t>
  </si>
  <si>
    <t>COLUMNA</t>
  </si>
  <si>
    <t>Nemotecnico Acreedor</t>
  </si>
  <si>
    <t>RUT Acreedor</t>
  </si>
  <si>
    <t>Monto</t>
  </si>
  <si>
    <t>Fila</t>
  </si>
  <si>
    <t>Columna</t>
  </si>
  <si>
    <t>N°</t>
  </si>
  <si>
    <t>Clave</t>
  </si>
  <si>
    <t>Distribuidora o Cooperativa</t>
  </si>
  <si>
    <t>EFACTAT</t>
  </si>
  <si>
    <t xml:space="preserve">EFACTBT </t>
  </si>
  <si>
    <t>VSSR</t>
  </si>
  <si>
    <t>[kWh]</t>
  </si>
  <si>
    <t>ELECDA</t>
  </si>
  <si>
    <t>EMELECTRIC</t>
  </si>
  <si>
    <t>EMETAL</t>
  </si>
  <si>
    <t>CONAFE A</t>
  </si>
  <si>
    <t>CONAFE B</t>
  </si>
  <si>
    <t>ENELSA</t>
  </si>
  <si>
    <t>TIL-TIL</t>
  </si>
  <si>
    <t>Montos Recaudados CUSSR</t>
  </si>
  <si>
    <t>Prorrata Cobro</t>
  </si>
  <si>
    <t>Cobro</t>
  </si>
  <si>
    <t>Monto a Transferir x empresa</t>
  </si>
  <si>
    <t>TOTAL</t>
  </si>
  <si>
    <t>Valorización producto de la aplicación del cargo unitario SSR por la empresa concesionaria de distribución</t>
  </si>
  <si>
    <t xml:space="preserve"> </t>
  </si>
  <si>
    <t>Montos a Transferir x empresa</t>
  </si>
  <si>
    <t>Montos a Transferir agrupado</t>
  </si>
  <si>
    <t>Montos a Transferir</t>
  </si>
  <si>
    <t>ENEL DISTRIBUCION</t>
  </si>
  <si>
    <t>Cuadro de Pagos</t>
  </si>
  <si>
    <t>Pagan (montos en $)</t>
  </si>
  <si>
    <t>Reciben (montos en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</si>
</sst>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  <numFmt numFmtId="165" formatCode="[$-C0A]mmmm\-yy;@"/>
    <numFmt numFmtId="166" formatCode="&quot;Tasa: &quot;0.0000%"/>
    <numFmt numFmtId="167" formatCode="dd\-mm\-yyyy"/>
    <numFmt numFmtId="168" formatCode="_-* #,##0_-;\-* #,##0_-;_-* &quot;-&quot;_-;_-@_-"/>
    <numFmt numFmtId="169" formatCode="mmmm\ yyyy"/>
    <numFmt numFmtId="170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FF7C8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sz val="9"/>
      <color indexed="81"/>
      <name val="Tahoma"/>
      <family val="2"/>
    </font>
    <font>
      <sz val="20"/>
      <color rgb="FFFF0000"/>
      <name val="Calibri"/>
      <family val="2"/>
    </font>
    <font>
      <b/>
      <sz val="20"/>
      <color rgb="FFFF0000"/>
      <name val="Calibri"/>
      <family val="2"/>
    </font>
    <font>
      <sz val="10"/>
      <name val="Calibri"/>
      <family val="2"/>
    </font>
    <font>
      <sz val="10"/>
      <color theme="0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0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41" fontId="0" fillId="0" borderId="0" xfId="1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6" fontId="3" fillId="0" borderId="0" xfId="2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164" fontId="5" fillId="0" borderId="1" xfId="0" applyNumberFormat="1" applyFont="1" applyBorder="1"/>
    <xf numFmtId="164" fontId="0" fillId="0" borderId="1" xfId="0" applyNumberFormat="1" applyBorder="1"/>
    <xf numFmtId="9" fontId="0" fillId="0" borderId="0" xfId="2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1" xfId="0" applyFont="1" applyBorder="1"/>
    <xf numFmtId="0" fontId="6" fillId="0" borderId="0" xfId="0" applyFont="1"/>
    <xf numFmtId="164" fontId="6" fillId="0" borderId="0" xfId="0" applyNumberFormat="1" applyFont="1"/>
    <xf numFmtId="41" fontId="6" fillId="0" borderId="0" xfId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left"/>
    </xf>
    <xf numFmtId="164" fontId="6" fillId="2" borderId="6" xfId="0" applyNumberFormat="1" applyFont="1" applyFill="1" applyBorder="1"/>
    <xf numFmtId="164" fontId="7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3" fontId="9" fillId="0" borderId="0" xfId="0" applyNumberFormat="1" applyFont="1"/>
    <xf numFmtId="0" fontId="3" fillId="0" borderId="1" xfId="0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38" fontId="2" fillId="0" borderId="0" xfId="0" applyNumberFormat="1" applyFont="1"/>
    <xf numFmtId="0" fontId="10" fillId="0" borderId="0" xfId="0" applyFont="1" applyAlignment="1">
      <alignment horizontal="left" vertical="center"/>
    </xf>
    <xf numFmtId="15" fontId="11" fillId="0" borderId="1" xfId="0" applyNumberFormat="1" applyFont="1" applyBorder="1" applyAlignment="1">
      <alignment vertical="center"/>
    </xf>
    <xf numFmtId="15" fontId="12" fillId="0" borderId="0" xfId="0" applyNumberFormat="1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14" fillId="5" borderId="0" xfId="0" applyFont="1" applyFill="1"/>
    <xf numFmtId="14" fontId="15" fillId="5" borderId="0" xfId="0" applyNumberFormat="1" applyFont="1" applyFill="1"/>
    <xf numFmtId="0" fontId="0" fillId="5" borderId="0" xfId="0" applyFill="1"/>
    <xf numFmtId="0" fontId="16" fillId="0" borderId="0" xfId="3"/>
    <xf numFmtId="164" fontId="17" fillId="0" borderId="0" xfId="3" applyNumberFormat="1" applyFont="1"/>
    <xf numFmtId="164" fontId="17" fillId="2" borderId="0" xfId="3" applyNumberFormat="1" applyFont="1" applyFill="1"/>
    <xf numFmtId="22" fontId="16" fillId="0" borderId="0" xfId="3" applyNumberFormat="1"/>
    <xf numFmtId="14" fontId="16" fillId="0" borderId="0" xfId="3" applyNumberFormat="1"/>
    <xf numFmtId="0" fontId="10" fillId="0" borderId="0" xfId="3" applyFont="1" applyAlignment="1">
      <alignment horizontal="left" vertical="center"/>
    </xf>
    <xf numFmtId="0" fontId="16" fillId="3" borderId="1" xfId="3" applyFill="1" applyBorder="1" applyAlignment="1">
      <alignment vertical="center"/>
    </xf>
    <xf numFmtId="15" fontId="12" fillId="0" borderId="0" xfId="3" applyNumberFormat="1" applyFont="1" applyAlignment="1">
      <alignment horizontal="left" vertical="center"/>
    </xf>
    <xf numFmtId="15" fontId="12" fillId="0" borderId="0" xfId="3" applyNumberFormat="1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9" fontId="0" fillId="0" borderId="0" xfId="4" applyFont="1"/>
    <xf numFmtId="3" fontId="16" fillId="0" borderId="0" xfId="3" applyNumberFormat="1"/>
    <xf numFmtId="0" fontId="16" fillId="0" borderId="1" xfId="3" applyBorder="1" applyAlignment="1">
      <alignment vertical="center"/>
    </xf>
    <xf numFmtId="0" fontId="16" fillId="0" borderId="1" xfId="3" applyBorder="1" applyAlignment="1">
      <alignment vertical="center" wrapText="1"/>
    </xf>
    <xf numFmtId="164" fontId="19" fillId="0" borderId="1" xfId="3" applyNumberFormat="1" applyFont="1" applyBorder="1"/>
    <xf numFmtId="164" fontId="16" fillId="0" borderId="0" xfId="3" applyNumberFormat="1"/>
    <xf numFmtId="0" fontId="8" fillId="0" borderId="2" xfId="3" applyFont="1" applyBorder="1"/>
    <xf numFmtId="0" fontId="16" fillId="0" borderId="3" xfId="3" applyBorder="1"/>
    <xf numFmtId="0" fontId="16" fillId="0" borderId="4" xfId="3" applyBorder="1"/>
    <xf numFmtId="164" fontId="20" fillId="0" borderId="1" xfId="3" applyNumberFormat="1" applyFont="1" applyBorder="1"/>
    <xf numFmtId="168" fontId="0" fillId="0" borderId="0" xfId="5" applyFont="1"/>
    <xf numFmtId="0" fontId="8" fillId="0" borderId="0" xfId="3" applyFont="1"/>
    <xf numFmtId="169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16" fillId="0" borderId="0" xfId="3" applyAlignment="1">
      <alignment horizontal="left"/>
    </xf>
    <xf numFmtId="0" fontId="8" fillId="0" borderId="0" xfId="3" applyFont="1" applyAlignment="1">
      <alignment horizontal="left"/>
    </xf>
    <xf numFmtId="170" fontId="16" fillId="0" borderId="0" xfId="3" applyNumberFormat="1"/>
    <xf numFmtId="17" fontId="8" fillId="0" borderId="5" xfId="3" applyNumberFormat="1" applyFont="1" applyBorder="1" applyAlignment="1">
      <alignment horizontal="center" vertical="center" wrapText="1"/>
    </xf>
    <xf numFmtId="17" fontId="8" fillId="0" borderId="7" xfId="3" applyNumberFormat="1" applyFont="1" applyBorder="1" applyAlignment="1">
      <alignment horizontal="center" vertical="center" wrapText="1"/>
    </xf>
    <xf numFmtId="17" fontId="8" fillId="0" borderId="6" xfId="3" applyNumberFormat="1" applyFont="1" applyBorder="1" applyAlignment="1">
      <alignment horizontal="center" vertical="center" wrapText="1"/>
    </xf>
    <xf numFmtId="0" fontId="16" fillId="0" borderId="6" xfId="3" applyBorder="1" applyAlignment="1">
      <alignment horizontal="center" vertical="center" wrapText="1"/>
    </xf>
    <xf numFmtId="17" fontId="8" fillId="0" borderId="5" xfId="3" applyNumberFormat="1" applyFont="1" applyBorder="1" applyAlignment="1">
      <alignment horizontal="center" vertical="center" wrapText="1"/>
    </xf>
    <xf numFmtId="17" fontId="8" fillId="0" borderId="1" xfId="3" applyNumberFormat="1" applyFont="1" applyBorder="1" applyAlignment="1">
      <alignment horizontal="center" vertical="center" wrapText="1"/>
    </xf>
    <xf numFmtId="0" fontId="16" fillId="0" borderId="8" xfId="3" applyBorder="1"/>
    <xf numFmtId="164" fontId="19" fillId="0" borderId="5" xfId="3" applyNumberFormat="1" applyFont="1" applyBorder="1"/>
    <xf numFmtId="10" fontId="19" fillId="0" borderId="5" xfId="4" applyNumberFormat="1" applyFont="1" applyBorder="1" applyAlignment="1">
      <alignment horizontal="center"/>
    </xf>
    <xf numFmtId="42" fontId="16" fillId="0" borderId="0" xfId="6" applyFont="1"/>
    <xf numFmtId="0" fontId="16" fillId="0" borderId="9" xfId="3" applyBorder="1"/>
    <xf numFmtId="164" fontId="19" fillId="0" borderId="7" xfId="3" applyNumberFormat="1" applyFont="1" applyBorder="1"/>
    <xf numFmtId="10" fontId="19" fillId="0" borderId="7" xfId="4" applyNumberFormat="1" applyFont="1" applyBorder="1" applyAlignment="1">
      <alignment horizontal="center"/>
    </xf>
    <xf numFmtId="0" fontId="16" fillId="0" borderId="10" xfId="3" applyBorder="1"/>
    <xf numFmtId="164" fontId="19" fillId="0" borderId="6" xfId="3" applyNumberFormat="1" applyFont="1" applyBorder="1"/>
    <xf numFmtId="10" fontId="19" fillId="0" borderId="6" xfId="4" applyNumberFormat="1" applyFont="1" applyBorder="1" applyAlignment="1">
      <alignment horizontal="center"/>
    </xf>
    <xf numFmtId="0" fontId="8" fillId="0" borderId="10" xfId="3" applyFont="1" applyBorder="1" applyAlignment="1">
      <alignment horizontal="left" indent="1"/>
    </xf>
    <xf numFmtId="10" fontId="20" fillId="0" borderId="1" xfId="4" applyNumberFormat="1" applyFont="1" applyBorder="1" applyAlignment="1">
      <alignment horizontal="center"/>
    </xf>
    <xf numFmtId="0" fontId="16" fillId="6" borderId="0" xfId="3" applyFill="1"/>
    <xf numFmtId="3" fontId="16" fillId="0" borderId="0" xfId="3" applyNumberFormat="1" applyAlignment="1">
      <alignment horizontal="left"/>
    </xf>
    <xf numFmtId="3" fontId="16" fillId="0" borderId="0" xfId="3" applyNumberFormat="1" applyAlignment="1">
      <alignment horizontal="center"/>
    </xf>
    <xf numFmtId="169" fontId="21" fillId="6" borderId="0" xfId="3" applyNumberFormat="1" applyFont="1" applyFill="1" applyAlignment="1">
      <alignment horizontal="left"/>
    </xf>
    <xf numFmtId="0" fontId="8" fillId="6" borderId="0" xfId="3" applyFont="1" applyFill="1" applyAlignment="1">
      <alignment horizontal="left"/>
    </xf>
    <xf numFmtId="169" fontId="8" fillId="6" borderId="0" xfId="3" applyNumberFormat="1" applyFont="1" applyFill="1" applyAlignment="1">
      <alignment horizontal="left"/>
    </xf>
    <xf numFmtId="17" fontId="8" fillId="6" borderId="0" xfId="3" applyNumberFormat="1" applyFont="1" applyFill="1" applyAlignment="1">
      <alignment horizontal="left"/>
    </xf>
    <xf numFmtId="17" fontId="8" fillId="6" borderId="1" xfId="3" applyNumberFormat="1" applyFont="1" applyFill="1" applyBorder="1" applyAlignment="1">
      <alignment horizontal="center" vertical="center" wrapText="1"/>
    </xf>
    <xf numFmtId="17" fontId="8" fillId="6" borderId="5" xfId="3" applyNumberFormat="1" applyFont="1" applyFill="1" applyBorder="1" applyAlignment="1">
      <alignment horizontal="center" vertical="center" wrapText="1"/>
    </xf>
    <xf numFmtId="17" fontId="8" fillId="6" borderId="0" xfId="3" applyNumberFormat="1" applyFont="1" applyFill="1" applyAlignment="1">
      <alignment horizontal="center" vertical="center" wrapText="1"/>
    </xf>
    <xf numFmtId="3" fontId="16" fillId="6" borderId="1" xfId="3" applyNumberFormat="1" applyFill="1" applyBorder="1" applyAlignment="1">
      <alignment horizontal="center" vertical="center"/>
    </xf>
    <xf numFmtId="17" fontId="8" fillId="6" borderId="6" xfId="3" applyNumberFormat="1" applyFont="1" applyFill="1" applyBorder="1" applyAlignment="1">
      <alignment horizontal="center" vertical="center" wrapText="1"/>
    </xf>
    <xf numFmtId="0" fontId="16" fillId="6" borderId="8" xfId="3" applyFill="1" applyBorder="1"/>
    <xf numFmtId="164" fontId="19" fillId="6" borderId="5" xfId="3" applyNumberFormat="1" applyFont="1" applyFill="1" applyBorder="1"/>
    <xf numFmtId="164" fontId="19" fillId="6" borderId="0" xfId="3" applyNumberFormat="1" applyFont="1" applyFill="1"/>
    <xf numFmtId="164" fontId="19" fillId="6" borderId="7" xfId="3" applyNumberFormat="1" applyFont="1" applyFill="1" applyBorder="1"/>
    <xf numFmtId="168" fontId="16" fillId="6" borderId="9" xfId="5" applyFont="1" applyFill="1" applyBorder="1"/>
    <xf numFmtId="168" fontId="16" fillId="6" borderId="0" xfId="5" applyFont="1" applyFill="1" applyBorder="1"/>
    <xf numFmtId="0" fontId="16" fillId="6" borderId="9" xfId="3" applyFill="1" applyBorder="1"/>
    <xf numFmtId="3" fontId="16" fillId="6" borderId="0" xfId="3" applyNumberFormat="1" applyFill="1"/>
    <xf numFmtId="0" fontId="16" fillId="6" borderId="10" xfId="3" applyFill="1" applyBorder="1"/>
    <xf numFmtId="0" fontId="8" fillId="6" borderId="10" xfId="3" applyFont="1" applyFill="1" applyBorder="1" applyAlignment="1">
      <alignment horizontal="left" indent="1"/>
    </xf>
    <xf numFmtId="164" fontId="20" fillId="6" borderId="1" xfId="3" applyNumberFormat="1" applyFont="1" applyFill="1" applyBorder="1"/>
    <xf numFmtId="0" fontId="8" fillId="6" borderId="0" xfId="3" applyFont="1" applyFill="1" applyAlignment="1">
      <alignment horizontal="left" indent="1"/>
    </xf>
    <xf numFmtId="164" fontId="19" fillId="6" borderId="6" xfId="3" applyNumberFormat="1" applyFont="1" applyFill="1" applyBorder="1"/>
    <xf numFmtId="164" fontId="20" fillId="6" borderId="0" xfId="3" applyNumberFormat="1" applyFont="1" applyFill="1"/>
    <xf numFmtId="168" fontId="16" fillId="6" borderId="0" xfId="5" applyFont="1" applyFill="1"/>
    <xf numFmtId="3" fontId="16" fillId="6" borderId="0" xfId="3" applyNumberFormat="1" applyFill="1" applyAlignment="1">
      <alignment vertical="center"/>
    </xf>
    <xf numFmtId="0" fontId="8" fillId="6" borderId="0" xfId="3" applyFont="1" applyFill="1"/>
    <xf numFmtId="3" fontId="8" fillId="6" borderId="5" xfId="3" applyNumberFormat="1" applyFont="1" applyFill="1" applyBorder="1" applyAlignment="1">
      <alignment horizontal="center" vertical="center"/>
    </xf>
    <xf numFmtId="3" fontId="8" fillId="6" borderId="2" xfId="3" applyNumberFormat="1" applyFont="1" applyFill="1" applyBorder="1" applyAlignment="1">
      <alignment vertical="center"/>
    </xf>
    <xf numFmtId="3" fontId="8" fillId="6" borderId="3" xfId="3" applyNumberFormat="1" applyFont="1" applyFill="1" applyBorder="1" applyAlignment="1">
      <alignment vertical="center"/>
    </xf>
    <xf numFmtId="0" fontId="8" fillId="6" borderId="5" xfId="3" applyFont="1" applyFill="1" applyBorder="1" applyAlignment="1">
      <alignment vertical="center"/>
    </xf>
    <xf numFmtId="0" fontId="16" fillId="6" borderId="6" xfId="3" applyFill="1" applyBorder="1" applyAlignment="1">
      <alignment horizontal="center" vertical="center"/>
    </xf>
    <xf numFmtId="3" fontId="8" fillId="0" borderId="6" xfId="3" applyNumberFormat="1" applyFont="1" applyBorder="1" applyAlignment="1">
      <alignment horizontal="center"/>
    </xf>
    <xf numFmtId="3" fontId="8" fillId="0" borderId="1" xfId="3" applyNumberFormat="1" applyFont="1" applyBorder="1" applyAlignment="1">
      <alignment horizontal="center"/>
    </xf>
    <xf numFmtId="0" fontId="8" fillId="6" borderId="6" xfId="3" applyFont="1" applyFill="1" applyBorder="1" applyAlignment="1">
      <alignment vertical="center"/>
    </xf>
    <xf numFmtId="3" fontId="8" fillId="0" borderId="1" xfId="3" applyNumberFormat="1" applyFont="1" applyBorder="1" applyAlignment="1">
      <alignment horizontal="left"/>
    </xf>
    <xf numFmtId="3" fontId="16" fillId="5" borderId="6" xfId="3" applyNumberFormat="1" applyFill="1" applyBorder="1"/>
    <xf numFmtId="3" fontId="16" fillId="6" borderId="6" xfId="3" applyNumberFormat="1" applyFill="1" applyBorder="1" applyAlignment="1">
      <alignment vertical="center"/>
    </xf>
    <xf numFmtId="3" fontId="8" fillId="0" borderId="6" xfId="3" applyNumberFormat="1" applyFont="1" applyBorder="1" applyAlignment="1">
      <alignment horizontal="left"/>
    </xf>
    <xf numFmtId="0" fontId="8" fillId="6" borderId="1" xfId="3" applyFont="1" applyFill="1" applyBorder="1" applyAlignment="1">
      <alignment horizontal="center"/>
    </xf>
    <xf numFmtId="3" fontId="8" fillId="6" borderId="1" xfId="3" applyNumberFormat="1" applyFont="1" applyFill="1" applyBorder="1"/>
    <xf numFmtId="3" fontId="8" fillId="0" borderId="1" xfId="3" applyNumberFormat="1" applyFont="1" applyBorder="1"/>
    <xf numFmtId="3" fontId="8" fillId="6" borderId="0" xfId="3" applyNumberFormat="1" applyFont="1" applyFill="1"/>
    <xf numFmtId="3" fontId="8" fillId="0" borderId="1" xfId="3" applyNumberFormat="1" applyFont="1" applyBorder="1" applyAlignment="1">
      <alignment vertical="center"/>
    </xf>
    <xf numFmtId="3" fontId="22" fillId="0" borderId="1" xfId="3" applyNumberFormat="1" applyFont="1" applyBorder="1"/>
  </cellXfs>
  <cellStyles count="7">
    <cellStyle name="Millares [0]" xfId="1" builtinId="6"/>
    <cellStyle name="Millares [0] 6" xfId="5" xr:uid="{16B87AA9-F0AF-434D-9E06-EA3E0B10F667}"/>
    <cellStyle name="Moneda [0] 2" xfId="6" xr:uid="{551794AD-E00C-471B-B139-57B1C7E75181}"/>
    <cellStyle name="Normal" xfId="0" builtinId="0"/>
    <cellStyle name="Normal 2" xfId="3" xr:uid="{4C2B9F04-7218-4305-9AB5-68C0CC994184}"/>
    <cellStyle name="Porcentaje" xfId="2" builtinId="5"/>
    <cellStyle name="Porcentaje 2" xfId="4" xr:uid="{DB83F3E6-34CF-460A-A2E1-009811806DCB}"/>
  </cellStyles>
  <dxfs count="3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_ETR_2411_(2312-2411)_p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MFETR"/>
      <sheetName val="EMPRESAS"/>
      <sheetName val="CPETR"/>
      <sheetName val="IPC"/>
      <sheetName val="Entrada CUSSR"/>
      <sheetName val="Reliquidación CUSSR"/>
      <sheetName val="CUADRO DE PAGO CUSSR"/>
    </sheetNames>
    <definedNames>
      <definedName name="CrearLibroETR"/>
      <definedName name="Refrescar_CPETR"/>
      <definedName name="RescataDatos"/>
      <definedName name="RescataDatos_CUSS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ubén Osvaldo  Sanhueza Ramirez" refreshedDate="45642.521423842591" backgroundQuery="1" createdVersion="6" refreshedVersion="7" minRefreshableVersion="3" recordCount="0" supportSubquery="1" supportAdvancedDrill="1" xr:uid="{C3643455-1280-4004-8453-E9D522B86FEC}">
  <cacheSource type="external" connectionId="2"/>
  <cacheFields count="7">
    <cacheField name="[TEE].[FILA].[FILA]" caption="FILA" numFmtId="0" hierarchy="5" level="1">
      <sharedItems count="1">
        <s v="Fila"/>
      </sharedItems>
    </cacheField>
    <cacheField name="[TEE].[Nemotecnico Deudor].[Nemotecnico Deudor]" caption="Nemotecnico Deudor" numFmtId="0" hierarchy="6" level="1">
      <sharedItems count="9">
        <s v="CGE"/>
        <s v="CHILQUINTA"/>
        <s v="EDECSA"/>
        <s v="EDELMAG"/>
        <s v="EEC"/>
        <s v="EEPA"/>
        <s v="ENEL DISTRIBUCIÓN"/>
        <s v="LITORAL"/>
        <s v="SAESA"/>
      </sharedItems>
    </cacheField>
    <cacheField name="[TEE].[RUT Deudor].[RUT Deudor]" caption="RUT Deudor" numFmtId="0" hierarchy="7" level="1">
      <sharedItems count="9">
        <s v="76.411.321-7"/>
        <s v="96.813.520-1"/>
        <s v="96.766.110-4"/>
        <s v="88.221.200-9"/>
        <s v="96.783.910-8"/>
        <s v="80.313.300-K"/>
        <s v="96.800.570-7"/>
        <s v="91.344.000-5"/>
        <s v="76.073.162-5"/>
      </sharedItems>
    </cacheField>
    <cacheField name="[TEE].[COLUMNA].[COLUMNA]" caption="COLUMNA" numFmtId="0" hierarchy="8" level="1">
      <sharedItems count="1">
        <s v="Columna"/>
      </sharedItems>
    </cacheField>
    <cacheField name="[TEE].[Nemotecnico Acreedor].[Nemotecnico Acreedor]" caption="Nemotecnico Acreedor" numFmtId="0" hierarchy="9" level="1">
      <sharedItems count="17">
        <s v="CEC"/>
        <s v="CODINER"/>
        <s v="COELCHA"/>
        <s v="COOPELAN"/>
        <s v="COOPREL"/>
        <s v="COPELEC"/>
        <s v="CRELL"/>
        <s v="DESA"/>
        <s v="EDELAYSÉN"/>
        <s v="EMELCA"/>
        <s v="FRONTEL"/>
        <s v="LUZ OSORNO"/>
        <s v="LUZLINARES"/>
        <s v="LUZPARRAL"/>
        <s v="MATAQUITO"/>
        <s v="SOCOEPA"/>
        <s v="TIL TIL"/>
      </sharedItems>
    </cacheField>
    <cacheField name="[TEE].[RUT Acreedor].[RUT Acreedor]" caption="RUT Acreedor" numFmtId="0" hierarchy="10" level="1">
      <sharedItems count="17">
        <s v="70.287.900-0"/>
        <s v="78.397.530-0"/>
        <s v="80.238.000-3"/>
        <s v="81.585.900-6"/>
        <s v="81.388.600-6"/>
        <s v="80.237.700-2"/>
        <s v="81.106.900-0"/>
        <s v="77.504.335-0"/>
        <s v="88.272.600-2"/>
        <s v="81.577.400-0"/>
        <s v="76.073.164-1"/>
        <s v="96.531.500-4"/>
        <s v="96.884.450-4"/>
        <s v="96.866.680-0"/>
        <s v="76.808.157-3"/>
        <s v="81.629.800-8"/>
        <s v="70.849.500-K"/>
      </sharedItems>
    </cacheField>
    <cacheField name="[Measures].[Suma de Monto02]" caption="Suma de Monto02" numFmtId="0" hierarchy="15" level="32767"/>
  </cacheFields>
  <cacheHierarchies count="16">
    <cacheHierarchy uniqueName="[RUT].[EMPRESA]" caption="EMPRESA" attribute="1" defaultMemberUniqueName="[RUT].[EMPRESA].[All]" allUniqueName="[RUT].[EMPRESA].[All]" dimensionUniqueName="[RUT]" displayFolder="" count="0" memberValueDatatype="130" unbalanced="0"/>
    <cacheHierarchy uniqueName="[RUT].[RUT]" caption="RUT" attribute="1" defaultMemberUniqueName="[RUT].[RUT].[All]" allUniqueName="[RUT].[RUT].[All]" dimensionUniqueName="[RUT]" displayFolder="" count="0" memberValueDatatype="130" unbalanced="0"/>
    <cacheHierarchy uniqueName="[TEE].[Reciben]" caption="Reciben" attribute="1" defaultMemberUniqueName="[TEE].[Reciben].[All]" allUniqueName="[TEE].[Reciben].[All]" dimensionUniqueName="[TEE]" displayFolder="" count="0" memberValueDatatype="130" unbalanced="0"/>
    <cacheHierarchy uniqueName="[TEE].[Pagan]" caption="Pagan" attribute="1" defaultMemberUniqueName="[TEE].[Pagan].[All]" allUniqueName="[TEE].[Pagan].[All]" dimensionUniqueName="[TEE]" displayFolder="" count="0" memberValueDatatype="130" unbalanced="0"/>
    <cacheHierarchy uniqueName="[TEE].[Valor01]" caption="Valor01" attribute="1" defaultMemberUniqueName="[TEE].[Valor01].[All]" allUniqueName="[TEE].[Valor01].[All]" dimensionUniqueName="[TEE]" displayFolder="" count="0" memberValueDatatype="5" unbalanced="0"/>
    <cacheHierarchy uniqueName="[TEE].[FILA]" caption="FILA" attribute="1" defaultMemberUniqueName="[TEE].[FILA].[All]" allUniqueName="[TEE].[FILA].[All]" dimensionUniqueName="[TEE]" displayFolder="" count="2" memberValueDatatype="130" unbalanced="0">
      <fieldsUsage count="2">
        <fieldUsage x="-1"/>
        <fieldUsage x="0"/>
      </fieldsUsage>
    </cacheHierarchy>
    <cacheHierarchy uniqueName="[TEE].[Nemotecnico Deudor]" caption="Nemotecnico Deudor" attribute="1" defaultMemberUniqueName="[TEE].[Nemotecnico Deudor].[All]" allUniqueName="[TEE].[Nemotecnico Deudor].[All]" dimensionUniqueName="[TEE]" displayFolder="" count="2" memberValueDatatype="130" unbalanced="0">
      <fieldsUsage count="2">
        <fieldUsage x="-1"/>
        <fieldUsage x="1"/>
      </fieldsUsage>
    </cacheHierarchy>
    <cacheHierarchy uniqueName="[TEE].[RUT Deudor]" caption="RUT Deudor" attribute="1" defaultMemberUniqueName="[TEE].[RUT Deudor].[All]" allUniqueName="[TEE].[RUT Deudor].[All]" dimensionUniqueName="[TEE]" displayFolder="" count="2" memberValueDatatype="130" unbalanced="0">
      <fieldsUsage count="2">
        <fieldUsage x="-1"/>
        <fieldUsage x="2"/>
      </fieldsUsage>
    </cacheHierarchy>
    <cacheHierarchy uniqueName="[TEE].[COLUMNA]" caption="COLUMNA" attribute="1" defaultMemberUniqueName="[TEE].[COLUMNA].[All]" allUniqueName="[TEE].[COLUMNA].[All]" dimensionUniqueName="[TEE]" displayFolder="" count="2" memberValueDatatype="130" unbalanced="0">
      <fieldsUsage count="2">
        <fieldUsage x="-1"/>
        <fieldUsage x="3"/>
      </fieldsUsage>
    </cacheHierarchy>
    <cacheHierarchy uniqueName="[TEE].[Nemotecnico Acreedor]" caption="Nemotecnico Acreedor" attribute="1" defaultMemberUniqueName="[TEE].[Nemotecnico Acreedor].[All]" allUniqueName="[TEE].[Nemotecnico Acreedor].[All]" dimensionUniqueName="[TEE]" displayFolder="" count="2" memberValueDatatype="130" unbalanced="0">
      <fieldsUsage count="2">
        <fieldUsage x="-1"/>
        <fieldUsage x="4"/>
      </fieldsUsage>
    </cacheHierarchy>
    <cacheHierarchy uniqueName="[TEE].[RUT Acreedor]" caption="RUT Acreedor" attribute="1" defaultMemberUniqueName="[TEE].[RUT Acreedor].[All]" allUniqueName="[TEE].[RUT Acreedor].[All]" dimensionUniqueName="[TEE]" displayFolder="" count="2" memberValueDatatype="130" unbalanced="0">
      <fieldsUsage count="2">
        <fieldUsage x="-1"/>
        <fieldUsage x="5"/>
      </fieldsUsage>
    </cacheHierarchy>
    <cacheHierarchy uniqueName="[TEE].[Monto02]" caption="Monto02" attribute="1" defaultMemberUniqueName="[TEE].[Monto02].[All]" allUniqueName="[TEE].[Monto02].[All]" dimensionUniqueName="[TEE]" displayFolder="" count="0" memberValueDatatype="5" unbalanced="0"/>
    <cacheHierarchy uniqueName="[Measures].[__XL_Count TEE]" caption="__XL_Count TEE" measure="1" displayFolder="" measureGroup="TEE" count="0" hidden="1"/>
    <cacheHierarchy uniqueName="[Measures].[__XL_Count RUT]" caption="__XL_Count RUT" measure="1" displayFolder="" measureGroup="RUT" count="0" hidden="1"/>
    <cacheHierarchy uniqueName="[Measures].[__No measures defined]" caption="__No measures defined" measure="1" displayFolder="" count="0" hidden="1"/>
    <cacheHierarchy uniqueName="[Measures].[Suma de Monto02]" caption="Suma de Monto02" measure="1" displayFolder="" measureGroup="TE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3">
    <dimension measure="1" name="Measures" uniqueName="[Measures]" caption="Measures"/>
    <dimension name="RUT" uniqueName="[RUT]" caption="RUT"/>
    <dimension name="TEE" uniqueName="[TEE]" caption="TEE"/>
  </dimensions>
  <measureGroups count="2">
    <measureGroup name="RUT" caption="RUT"/>
    <measureGroup name="TEE" caption="TEE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9B2A0-AF43-4B7B-BA0E-0A3EE9871C8C}" name="TablaDinámica1" cacheId="2" applyNumberFormats="0" applyBorderFormats="0" applyFontFormats="0" applyPatternFormats="0" applyAlignmentFormats="0" applyWidthHeightFormats="1" dataCaption="Valores" tag="4a47a454-c155-4cbf-94c7-b04478d5bc98" updatedVersion="7" minRefreshableVersion="3" useAutoFormatting="1" subtotalHiddenItems="1" rowGrandTotals="0" itemPrintTitles="1" createdVersion="6" indent="0" compact="0" compactData="0" multipleFieldFilters="0">
  <location ref="A6:G159" firstHeaderRow="1" firstDataRow="1" firstDataCol="6"/>
  <pivotFields count="7"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153">
    <i>
      <x/>
      <x/>
      <x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1"/>
      <x v="1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2"/>
      <x v="2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3"/>
      <x v="3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4"/>
      <x v="4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5"/>
      <x v="5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6"/>
      <x v="6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7"/>
      <x v="7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8"/>
      <x v="8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</rowItems>
  <colItems count="1">
    <i/>
  </colItems>
  <dataFields count="1">
    <dataField name="Monto" fld="6" baseField="5" baseItem="2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Monto"/>
  </pivotHierarchies>
  <pivotTableStyleInfo name="PivotStyleLight16" showRowHeaders="1" showColHeaders="1" showRowStripes="0" showColStripes="0" showLastColumn="1"/>
  <rowHierarchiesUsage count="6">
    <rowHierarchyUsage hierarchyUsage="5"/>
    <rowHierarchyUsage hierarchyUsage="6"/>
    <rowHierarchyUsage hierarchyUsage="7"/>
    <rowHierarchyUsage hierarchyUsage="8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E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53B86C-5C10-4929-A388-CE86AA8D5626}" name="RUT" displayName="RUT" ref="C2:D29" totalsRowShown="0" headerRowDxfId="2" headerRowBorderDxfId="0" tableBorderDxfId="1">
  <autoFilter ref="C2:D29" xr:uid="{9B08513D-F961-4B83-9426-764619CDA1A1}"/>
  <tableColumns count="2">
    <tableColumn id="1" xr3:uid="{FDB19D7A-202A-4F11-B257-05F80F235EA6}" name="EMPRESA"/>
    <tableColumn id="2" xr3:uid="{BF5D3416-07F1-47E3-A0D9-0799875618CC}" name="R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AD4A-D873-473C-A719-822B67A7928B}">
  <sheetPr codeName="Hoja1">
    <pageSetUpPr fitToPage="1"/>
  </sheetPr>
  <dimension ref="A1:Y73"/>
  <sheetViews>
    <sheetView showGridLines="0" tabSelected="1" zoomScale="65" zoomScaleNormal="65" workbookViewId="0"/>
  </sheetViews>
  <sheetFormatPr baseColWidth="10" defaultRowHeight="15" x14ac:dyDescent="0.25"/>
  <cols>
    <col min="1" max="1" width="14.140625" customWidth="1"/>
    <col min="2" max="2" width="26.7109375" customWidth="1"/>
    <col min="3" max="3" width="19.5703125" bestFit="1" customWidth="1"/>
    <col min="4" max="4" width="18" bestFit="1" customWidth="1"/>
    <col min="5" max="5" width="16" bestFit="1" customWidth="1"/>
    <col min="6" max="8" width="15" bestFit="1" customWidth="1"/>
    <col min="9" max="9" width="14.7109375" bestFit="1" customWidth="1"/>
    <col min="10" max="10" width="16" bestFit="1" customWidth="1"/>
    <col min="11" max="11" width="16.7109375" customWidth="1"/>
    <col min="12" max="12" width="18" bestFit="1" customWidth="1"/>
    <col min="13" max="13" width="17" customWidth="1"/>
    <col min="14" max="14" width="17.85546875" bestFit="1" customWidth="1"/>
    <col min="15" max="15" width="19.5703125" bestFit="1" customWidth="1"/>
    <col min="16" max="16" width="18.85546875" bestFit="1" customWidth="1"/>
    <col min="17" max="17" width="21.7109375" customWidth="1"/>
    <col min="18" max="18" width="22.7109375" bestFit="1" customWidth="1"/>
    <col min="19" max="19" width="20.42578125" bestFit="1" customWidth="1"/>
    <col min="20" max="20" width="24.85546875" bestFit="1" customWidth="1"/>
    <col min="21" max="21" width="22.5703125" customWidth="1"/>
    <col min="22" max="22" width="20.140625" customWidth="1"/>
    <col min="23" max="24" width="17.7109375" customWidth="1"/>
    <col min="25" max="25" width="28.5703125" style="2" customWidth="1"/>
    <col min="26" max="26" width="15.140625" bestFit="1" customWidth="1"/>
    <col min="27" max="27" width="16.5703125" customWidth="1"/>
  </cols>
  <sheetData>
    <row r="1" spans="1:25" x14ac:dyDescent="0.25">
      <c r="G1" s="1"/>
    </row>
    <row r="2" spans="1:25" x14ac:dyDescent="0.25">
      <c r="B2" s="3" t="s">
        <v>0</v>
      </c>
    </row>
    <row r="3" spans="1:25" x14ac:dyDescent="0.25">
      <c r="B3" s="4">
        <v>45597</v>
      </c>
      <c r="K3" s="5"/>
      <c r="L3" s="5"/>
    </row>
    <row r="4" spans="1:25" ht="13.5" customHeight="1" x14ac:dyDescent="0.25">
      <c r="B4" s="6">
        <v>2.557787040545545E-3</v>
      </c>
    </row>
    <row r="5" spans="1:25" ht="49.5" customHeight="1" x14ac:dyDescent="0.25">
      <c r="C5" s="7" t="s">
        <v>1</v>
      </c>
      <c r="D5" s="7" t="s">
        <v>2</v>
      </c>
      <c r="R5" s="8" t="s">
        <v>3</v>
      </c>
      <c r="S5" s="8" t="s">
        <v>4</v>
      </c>
      <c r="T5" s="8" t="s">
        <v>5</v>
      </c>
      <c r="U5" s="8" t="s">
        <v>6</v>
      </c>
    </row>
    <row r="6" spans="1:25" x14ac:dyDescent="0.25">
      <c r="B6" s="9" t="s">
        <v>7</v>
      </c>
      <c r="C6" s="9" t="s">
        <v>8</v>
      </c>
      <c r="D6" s="9" t="s">
        <v>8</v>
      </c>
      <c r="E6" s="10" t="str">
        <f>+TEXT(YEAR(MFETR!B1)-2000,"00")&amp;TEXT(MONTH(MFETR!B1),"00")</f>
        <v>2312</v>
      </c>
      <c r="F6" s="10" t="str">
        <f>+TEXT(YEAR(MFETR!C1)-2000,"00")&amp;TEXT(MONTH(MFETR!C1),"00")</f>
        <v>2401</v>
      </c>
      <c r="G6" s="10" t="str">
        <f>+TEXT(YEAR(MFETR!D1)-2000,"00")&amp;TEXT(MONTH(MFETR!D1),"00")</f>
        <v>2402</v>
      </c>
      <c r="H6" s="10" t="str">
        <f>+TEXT(YEAR(MFETR!E1)-2000,"00")&amp;TEXT(MONTH(MFETR!E1),"00")</f>
        <v>2403</v>
      </c>
      <c r="I6" s="10" t="str">
        <f>+TEXT(YEAR(MFETR!F1)-2000,"00")&amp;TEXT(MONTH(MFETR!F1),"00")</f>
        <v>2404</v>
      </c>
      <c r="J6" s="10" t="str">
        <f>+TEXT(YEAR(MFETR!G1)-2000,"00")&amp;TEXT(MONTH(MFETR!G1),"00")</f>
        <v>2405</v>
      </c>
      <c r="K6" s="10" t="str">
        <f>+TEXT(YEAR(MFETR!H1)-2000,"00")&amp;TEXT(MONTH(MFETR!H1),"00")</f>
        <v>2406</v>
      </c>
      <c r="L6" s="10" t="str">
        <f>+TEXT(YEAR(MFETR!I1)-2000,"00")&amp;TEXT(MONTH(MFETR!I1),"00")</f>
        <v>2407</v>
      </c>
      <c r="M6" s="10" t="str">
        <f>+TEXT(YEAR(MFETR!J1)-2000,"00")&amp;TEXT(MONTH(MFETR!J1),"00")</f>
        <v>2408</v>
      </c>
      <c r="N6" s="10" t="str">
        <f>+TEXT(YEAR(MFETR!K1)-2000,"00")&amp;TEXT(MONTH(MFETR!K1),"00")</f>
        <v>2409</v>
      </c>
      <c r="O6" s="10" t="str">
        <f>+TEXT(YEAR(MFETR!L1)-2000,"00")&amp;TEXT(MONTH(MFETR!L1),"00")</f>
        <v>2410</v>
      </c>
      <c r="P6" s="10" t="str">
        <f>+TEXT(YEAR(MFETR!M1)-2000,"00")&amp;TEXT(MONTH(MFETR!M1),"00")</f>
        <v>2411</v>
      </c>
      <c r="Q6" s="8" t="s">
        <v>9</v>
      </c>
      <c r="R6" s="8" t="s">
        <v>8</v>
      </c>
      <c r="S6" s="8" t="s">
        <v>8</v>
      </c>
      <c r="T6" s="8" t="s">
        <v>8</v>
      </c>
      <c r="U6" s="8" t="s">
        <v>8</v>
      </c>
      <c r="Y6"/>
    </row>
    <row r="7" spans="1:25" x14ac:dyDescent="0.25">
      <c r="A7" s="11" t="s">
        <v>10</v>
      </c>
      <c r="B7" s="12" t="s">
        <v>10</v>
      </c>
      <c r="C7" s="13">
        <v>0</v>
      </c>
      <c r="D7" s="13"/>
      <c r="E7" s="14">
        <f>+SUMIF(MFETR!$A:$A,$B7,MFETR!B:B)</f>
        <v>0</v>
      </c>
      <c r="F7" s="14">
        <f>+SUMIF(MFETR!$A:$A,$B7,MFETR!C:C)</f>
        <v>0</v>
      </c>
      <c r="G7" s="14">
        <f>+SUMIF(MFETR!$A:$A,$B7,MFETR!D:D)</f>
        <v>0</v>
      </c>
      <c r="H7" s="14">
        <f>+SUMIF(MFETR!$A:$A,$B7,MFETR!E:E)</f>
        <v>0</v>
      </c>
      <c r="I7" s="14">
        <f>+SUMIF(MFETR!$A:$A,$B7,MFETR!F:F)</f>
        <v>0</v>
      </c>
      <c r="J7" s="14">
        <f>+SUMIF(MFETR!$A:$A,$B7,MFETR!G:G)</f>
        <v>0</v>
      </c>
      <c r="K7" s="14">
        <f>+SUMIF(MFETR!$A:$A,$B7,MFETR!H:H)</f>
        <v>0</v>
      </c>
      <c r="L7" s="14">
        <f>+SUMIF(MFETR!$A:$A,$B7,MFETR!I:I)</f>
        <v>0</v>
      </c>
      <c r="M7" s="14">
        <f>+SUMIF(MFETR!$A:$A,$B7,MFETR!J:J)</f>
        <v>0</v>
      </c>
      <c r="N7" s="14">
        <f>+SUMIF(MFETR!$A:$A,$B7,MFETR!K:K)</f>
        <v>0</v>
      </c>
      <c r="O7" s="14">
        <f>+SUMIF(MFETR!$A:$A,$B7,MFETR!L:L)</f>
        <v>-67649068.668212295</v>
      </c>
      <c r="P7" s="14">
        <f>+SUMIF(MFETR!$A:$A,$B7,MFETR!M:M)</f>
        <v>0</v>
      </c>
      <c r="Q7" s="14">
        <f t="shared" ref="Q7:Q40" si="0">+(C7+D7)*(1+$B$4)+SUM(E7:P7)</f>
        <v>-67649068.668212295</v>
      </c>
      <c r="R7" s="14">
        <f t="shared" ref="R7:R40" si="1">+IF(Q7&gt;=0,Q7,0)</f>
        <v>0</v>
      </c>
      <c r="S7" s="14">
        <f t="shared" ref="S7:S40" si="2">+IF(Q7&lt;0,-Q7,0)</f>
        <v>67649068.668212295</v>
      </c>
      <c r="T7" s="14">
        <f t="shared" ref="T7:T40" si="3">IF(OR($R$41=0,$S$41=0),0,(S7/$S$41-R7/$R$41)*$S$45)</f>
        <v>67649068.668212295</v>
      </c>
      <c r="U7" s="14">
        <f t="shared" ref="U7:U40" si="4">+T7+Q7</f>
        <v>0</v>
      </c>
      <c r="V7" s="1"/>
      <c r="W7" s="1"/>
      <c r="X7" s="1"/>
      <c r="Y7" s="15"/>
    </row>
    <row r="8" spans="1:25" x14ac:dyDescent="0.25">
      <c r="A8" s="11" t="s">
        <v>11</v>
      </c>
      <c r="B8" s="12" t="s">
        <v>12</v>
      </c>
      <c r="C8" s="13">
        <v>104663093.13832831</v>
      </c>
      <c r="D8" s="13"/>
      <c r="E8" s="14">
        <f>+SUMIF(MFETR!$A:$A,$B8,MFETR!B:B)</f>
        <v>744207.87279996998</v>
      </c>
      <c r="F8" s="14">
        <f>+SUMIF(MFETR!$A:$A,$B8,MFETR!C:C)</f>
        <v>811424.47621723684</v>
      </c>
      <c r="G8" s="14">
        <f>+SUMIF(MFETR!$A:$A,$B8,MFETR!D:D)</f>
        <v>811890.81099756772</v>
      </c>
      <c r="H8" s="14">
        <f>+SUMIF(MFETR!$A:$A,$B8,MFETR!E:E)</f>
        <v>1073121.8552257861</v>
      </c>
      <c r="I8" s="14">
        <f>+SUMIF(MFETR!$A:$A,$B8,MFETR!F:F)</f>
        <v>1301941.658368937</v>
      </c>
      <c r="J8" s="14">
        <f>+SUMIF(MFETR!$A:$A,$B8,MFETR!G:G)</f>
        <v>2009314.0418010431</v>
      </c>
      <c r="K8" s="14">
        <f>+SUMIF(MFETR!$A:$A,$B8,MFETR!H:H)</f>
        <v>2794597.3469320629</v>
      </c>
      <c r="L8" s="14">
        <f>+SUMIF(MFETR!$A:$A,$B8,MFETR!I:I)</f>
        <v>4341015.1947490796</v>
      </c>
      <c r="M8" s="14">
        <f>+SUMIF(MFETR!$A:$A,$B8,MFETR!J:J)</f>
        <v>8137384.0911557609</v>
      </c>
      <c r="N8" s="14">
        <f>+SUMIF(MFETR!$A:$A,$B8,MFETR!K:K)</f>
        <v>153973538.56471801</v>
      </c>
      <c r="O8" s="14">
        <f>+SUMIF(MFETR!$A:$A,$B8,MFETR!L:L)</f>
        <v>1823303887.0975411</v>
      </c>
      <c r="P8" s="14">
        <f>+SUMIF(MFETR!$A:$A,$B8,MFETR!M:M)</f>
        <v>487377494.18288583</v>
      </c>
      <c r="Q8" s="14">
        <f t="shared" si="0"/>
        <v>2591610616.2349734</v>
      </c>
      <c r="R8" s="14">
        <f t="shared" si="1"/>
        <v>2591610616.2349734</v>
      </c>
      <c r="S8" s="14">
        <f t="shared" si="2"/>
        <v>0</v>
      </c>
      <c r="T8" s="14">
        <f t="shared" si="3"/>
        <v>-2207205496.7808242</v>
      </c>
      <c r="U8" s="14">
        <f t="shared" si="4"/>
        <v>384405119.45414925</v>
      </c>
      <c r="V8" s="1"/>
      <c r="W8" s="1"/>
      <c r="X8" s="1"/>
      <c r="Y8" s="15"/>
    </row>
    <row r="9" spans="1:25" x14ac:dyDescent="0.25">
      <c r="A9" s="11" t="s">
        <v>13</v>
      </c>
      <c r="B9" s="12" t="s">
        <v>13</v>
      </c>
      <c r="C9" s="13">
        <v>163057081.60073137</v>
      </c>
      <c r="D9" s="13"/>
      <c r="E9" s="14">
        <f>+SUMIF(MFETR!$A:$A,$B9,MFETR!B:B)</f>
        <v>1892255.803376707</v>
      </c>
      <c r="F9" s="14">
        <f>+SUMIF(MFETR!$A:$A,$B9,MFETR!C:C)</f>
        <v>1924861.672620788</v>
      </c>
      <c r="G9" s="14">
        <f>+SUMIF(MFETR!$A:$A,$B9,MFETR!D:D)</f>
        <v>2451786.6202313509</v>
      </c>
      <c r="H9" s="14">
        <f>+SUMIF(MFETR!$A:$A,$B9,MFETR!E:E)</f>
        <v>3470876.8349334169</v>
      </c>
      <c r="I9" s="14">
        <f>+SUMIF(MFETR!$A:$A,$B9,MFETR!F:F)</f>
        <v>3537016.3045979561</v>
      </c>
      <c r="J9" s="14">
        <f>+SUMIF(MFETR!$A:$A,$B9,MFETR!G:G)</f>
        <v>6919942.2730669277</v>
      </c>
      <c r="K9" s="14">
        <f>+SUMIF(MFETR!$A:$A,$B9,MFETR!H:H)</f>
        <v>9303743.0149257649</v>
      </c>
      <c r="L9" s="14">
        <f>+SUMIF(MFETR!$A:$A,$B9,MFETR!I:I)</f>
        <v>11815517.57238635</v>
      </c>
      <c r="M9" s="14">
        <f>+SUMIF(MFETR!$A:$A,$B9,MFETR!J:J)</f>
        <v>16893169.42003328</v>
      </c>
      <c r="N9" s="14">
        <f>+SUMIF(MFETR!$A:$A,$B9,MFETR!K:K)</f>
        <v>179718202.67499638</v>
      </c>
      <c r="O9" s="14">
        <f>+SUMIF(MFETR!$A:$A,$B9,MFETR!L:L)</f>
        <v>1948824320.1895492</v>
      </c>
      <c r="P9" s="14">
        <f>+SUMIF(MFETR!$A:$A,$B9,MFETR!M:M)</f>
        <v>674311548.35909951</v>
      </c>
      <c r="Q9" s="14">
        <f t="shared" si="0"/>
        <v>3024537387.6307364</v>
      </c>
      <c r="R9" s="14">
        <f t="shared" si="1"/>
        <v>3024537387.6307364</v>
      </c>
      <c r="S9" s="14">
        <f t="shared" si="2"/>
        <v>0</v>
      </c>
      <c r="T9" s="14">
        <f t="shared" si="3"/>
        <v>-2575917657.296864</v>
      </c>
      <c r="U9" s="14">
        <f t="shared" si="4"/>
        <v>448619730.33387232</v>
      </c>
      <c r="V9" s="1"/>
      <c r="W9" s="1"/>
      <c r="X9" s="1"/>
      <c r="Y9" s="15"/>
    </row>
    <row r="10" spans="1:25" x14ac:dyDescent="0.25">
      <c r="A10" s="11" t="s">
        <v>14</v>
      </c>
      <c r="B10" s="12" t="s">
        <v>14</v>
      </c>
      <c r="C10" s="13">
        <v>31171861.123957038</v>
      </c>
      <c r="D10" s="13"/>
      <c r="E10" s="14">
        <f>+SUMIF(MFETR!$A:$A,$B10,MFETR!B:B)</f>
        <v>-24962.937400537659</v>
      </c>
      <c r="F10" s="14">
        <f>+SUMIF(MFETR!$A:$A,$B10,MFETR!C:C)</f>
        <v>142395.62704684841</v>
      </c>
      <c r="G10" s="14">
        <f>+SUMIF(MFETR!$A:$A,$B10,MFETR!D:D)</f>
        <v>226250.91872040209</v>
      </c>
      <c r="H10" s="14">
        <f>+SUMIF(MFETR!$A:$A,$B10,MFETR!E:E)</f>
        <v>298384.3486924289</v>
      </c>
      <c r="I10" s="14">
        <f>+SUMIF(MFETR!$A:$A,$B10,MFETR!F:F)</f>
        <v>278182.3747876698</v>
      </c>
      <c r="J10" s="14">
        <f>+SUMIF(MFETR!$A:$A,$B10,MFETR!G:G)</f>
        <v>46937.253059756913</v>
      </c>
      <c r="K10" s="14">
        <f>+SUMIF(MFETR!$A:$A,$B10,MFETR!H:H)</f>
        <v>475778.193253732</v>
      </c>
      <c r="L10" s="14">
        <f>+SUMIF(MFETR!$A:$A,$B10,MFETR!I:I)</f>
        <v>218823.3930447929</v>
      </c>
      <c r="M10" s="14">
        <f>+SUMIF(MFETR!$A:$A,$B10,MFETR!J:J)</f>
        <v>301722.27238558629</v>
      </c>
      <c r="N10" s="14">
        <f>+SUMIF(MFETR!$A:$A,$B10,MFETR!K:K)</f>
        <v>13965265.688813221</v>
      </c>
      <c r="O10" s="14">
        <f>+SUMIF(MFETR!$A:$A,$B10,MFETR!L:L)</f>
        <v>402932204.22539032</v>
      </c>
      <c r="P10" s="14">
        <f>+SUMIF(MFETR!$A:$A,$B10,MFETR!M:M)</f>
        <v>77136048.181754857</v>
      </c>
      <c r="Q10" s="14">
        <f t="shared" si="0"/>
        <v>527248621.64591867</v>
      </c>
      <c r="R10" s="14">
        <f t="shared" si="1"/>
        <v>527248621.64591867</v>
      </c>
      <c r="S10" s="14">
        <f t="shared" si="2"/>
        <v>0</v>
      </c>
      <c r="T10" s="14">
        <f t="shared" si="3"/>
        <v>-449043559.46714151</v>
      </c>
      <c r="U10" s="14">
        <f t="shared" si="4"/>
        <v>78205062.178777158</v>
      </c>
      <c r="V10" s="1"/>
      <c r="W10" s="1"/>
      <c r="X10" s="1"/>
      <c r="Y10" s="15"/>
    </row>
    <row r="11" spans="1:25" x14ac:dyDescent="0.25">
      <c r="A11" s="11" t="s">
        <v>15</v>
      </c>
      <c r="B11" s="12" t="s">
        <v>15</v>
      </c>
      <c r="C11" s="13">
        <v>0</v>
      </c>
      <c r="D11" s="13"/>
      <c r="E11" s="14">
        <f>+SUMIF(MFETR!$A:$A,$B11,MFETR!B:B)</f>
        <v>0</v>
      </c>
      <c r="F11" s="14">
        <f>+SUMIF(MFETR!$A:$A,$B11,MFETR!C:C)</f>
        <v>0</v>
      </c>
      <c r="G11" s="14">
        <f>+SUMIF(MFETR!$A:$A,$B11,MFETR!D:D)</f>
        <v>0</v>
      </c>
      <c r="H11" s="14">
        <f>+SUMIF(MFETR!$A:$A,$B11,MFETR!E:E)</f>
        <v>0</v>
      </c>
      <c r="I11" s="14">
        <f>+SUMIF(MFETR!$A:$A,$B11,MFETR!F:F)</f>
        <v>0</v>
      </c>
      <c r="J11" s="14">
        <f>+SUMIF(MFETR!$A:$A,$B11,MFETR!G:G)</f>
        <v>0</v>
      </c>
      <c r="K11" s="14">
        <f>+SUMIF(MFETR!$A:$A,$B11,MFETR!H:H)</f>
        <v>0</v>
      </c>
      <c r="L11" s="14">
        <f>+SUMIF(MFETR!$A:$A,$B11,MFETR!I:I)</f>
        <v>0</v>
      </c>
      <c r="M11" s="14">
        <f>+SUMIF(MFETR!$A:$A,$B11,MFETR!J:J)</f>
        <v>0</v>
      </c>
      <c r="N11" s="14">
        <f>+SUMIF(MFETR!$A:$A,$B11,MFETR!K:K)</f>
        <v>0</v>
      </c>
      <c r="O11" s="14">
        <f>+SUMIF(MFETR!$A:$A,$B11,MFETR!L:L)</f>
        <v>-43162101.564766482</v>
      </c>
      <c r="P11" s="14">
        <f>+SUMIF(MFETR!$A:$A,$B11,MFETR!M:M)</f>
        <v>-82768290.389264837</v>
      </c>
      <c r="Q11" s="14">
        <f t="shared" si="0"/>
        <v>-125930391.95403132</v>
      </c>
      <c r="R11" s="14">
        <f t="shared" si="1"/>
        <v>0</v>
      </c>
      <c r="S11" s="14">
        <f t="shared" si="2"/>
        <v>125930391.95403132</v>
      </c>
      <c r="T11" s="14">
        <f t="shared" si="3"/>
        <v>125930391.95403133</v>
      </c>
      <c r="U11" s="14">
        <f t="shared" si="4"/>
        <v>0</v>
      </c>
      <c r="V11" s="1"/>
      <c r="W11" s="1"/>
      <c r="X11" s="1"/>
      <c r="Y11" s="15"/>
    </row>
    <row r="12" spans="1:25" x14ac:dyDescent="0.25">
      <c r="A12" s="11" t="s">
        <v>16</v>
      </c>
      <c r="B12" s="12" t="s">
        <v>16</v>
      </c>
      <c r="C12" s="13">
        <v>0</v>
      </c>
      <c r="D12" s="13"/>
      <c r="E12" s="14">
        <f>+SUMIF(MFETR!$A:$A,$B12,MFETR!B:B)</f>
        <v>0</v>
      </c>
      <c r="F12" s="14">
        <f>+SUMIF(MFETR!$A:$A,$B12,MFETR!C:C)</f>
        <v>0</v>
      </c>
      <c r="G12" s="14">
        <f>+SUMIF(MFETR!$A:$A,$B12,MFETR!D:D)</f>
        <v>0</v>
      </c>
      <c r="H12" s="14">
        <f>+SUMIF(MFETR!$A:$A,$B12,MFETR!E:E)</f>
        <v>0</v>
      </c>
      <c r="I12" s="14">
        <f>+SUMIF(MFETR!$A:$A,$B12,MFETR!F:F)</f>
        <v>0</v>
      </c>
      <c r="J12" s="14">
        <f>+SUMIF(MFETR!$A:$A,$B12,MFETR!G:G)</f>
        <v>0</v>
      </c>
      <c r="K12" s="14">
        <f>+SUMIF(MFETR!$A:$A,$B12,MFETR!H:H)</f>
        <v>0</v>
      </c>
      <c r="L12" s="14">
        <f>+SUMIF(MFETR!$A:$A,$B12,MFETR!I:I)</f>
        <v>0</v>
      </c>
      <c r="M12" s="14">
        <f>+SUMIF(MFETR!$A:$A,$B12,MFETR!J:J)</f>
        <v>0</v>
      </c>
      <c r="N12" s="14">
        <f>+SUMIF(MFETR!$A:$A,$B12,MFETR!K:K)</f>
        <v>0</v>
      </c>
      <c r="O12" s="14">
        <f>+SUMIF(MFETR!$A:$A,$B12,MFETR!L:L)</f>
        <v>-784951345.35484242</v>
      </c>
      <c r="P12" s="14">
        <f>+SUMIF(MFETR!$A:$A,$B12,MFETR!M:M)</f>
        <v>0</v>
      </c>
      <c r="Q12" s="14">
        <f t="shared" si="0"/>
        <v>-784951345.35484242</v>
      </c>
      <c r="R12" s="14">
        <f t="shared" si="1"/>
        <v>0</v>
      </c>
      <c r="S12" s="14">
        <f t="shared" si="2"/>
        <v>784951345.35484242</v>
      </c>
      <c r="T12" s="14">
        <f t="shared" si="3"/>
        <v>784951345.35484242</v>
      </c>
      <c r="U12" s="14">
        <f t="shared" si="4"/>
        <v>0</v>
      </c>
      <c r="V12" s="1"/>
      <c r="W12" s="1"/>
      <c r="X12" s="1"/>
      <c r="Y12" s="15"/>
    </row>
    <row r="13" spans="1:25" x14ac:dyDescent="0.25">
      <c r="A13" s="11" t="s">
        <v>11</v>
      </c>
      <c r="B13" s="12" t="s">
        <v>17</v>
      </c>
      <c r="C13" s="13">
        <v>24960500.043663859</v>
      </c>
      <c r="D13" s="13"/>
      <c r="E13" s="14">
        <f>+SUMIF(MFETR!$A:$A,$B13,MFETR!B:B)</f>
        <v>108323.9371166627</v>
      </c>
      <c r="F13" s="14">
        <f>+SUMIF(MFETR!$A:$A,$B13,MFETR!C:C)</f>
        <v>15460.248561535869</v>
      </c>
      <c r="G13" s="14">
        <f>+SUMIF(MFETR!$A:$A,$B13,MFETR!D:D)</f>
        <v>27441.321475631699</v>
      </c>
      <c r="H13" s="14">
        <f>+SUMIF(MFETR!$A:$A,$B13,MFETR!E:E)</f>
        <v>68440.931420769892</v>
      </c>
      <c r="I13" s="14">
        <f>+SUMIF(MFETR!$A:$A,$B13,MFETR!F:F)</f>
        <v>58377.802632493112</v>
      </c>
      <c r="J13" s="14">
        <f>+SUMIF(MFETR!$A:$A,$B13,MFETR!G:G)</f>
        <v>76754.240590635934</v>
      </c>
      <c r="K13" s="14">
        <f>+SUMIF(MFETR!$A:$A,$B13,MFETR!H:H)</f>
        <v>58151.218377323152</v>
      </c>
      <c r="L13" s="14">
        <f>+SUMIF(MFETR!$A:$A,$B13,MFETR!I:I)</f>
        <v>125779.12976034349</v>
      </c>
      <c r="M13" s="14">
        <f>+SUMIF(MFETR!$A:$A,$B13,MFETR!J:J)</f>
        <v>407326.86402150983</v>
      </c>
      <c r="N13" s="14">
        <f>+SUMIF(MFETR!$A:$A,$B13,MFETR!K:K)</f>
        <v>18791644.52546265</v>
      </c>
      <c r="O13" s="14">
        <f>+SUMIF(MFETR!$A:$A,$B13,MFETR!L:L)</f>
        <v>281055520.04254448</v>
      </c>
      <c r="P13" s="14">
        <f>+SUMIF(MFETR!$A:$A,$B13,MFETR!M:M)</f>
        <v>111332561.1389644</v>
      </c>
      <c r="Q13" s="14">
        <f t="shared" si="0"/>
        <v>437150125.08812952</v>
      </c>
      <c r="R13" s="14">
        <f t="shared" si="1"/>
        <v>437150125.08812952</v>
      </c>
      <c r="S13" s="14">
        <f t="shared" si="2"/>
        <v>0</v>
      </c>
      <c r="T13" s="14">
        <f t="shared" si="3"/>
        <v>-372309077.9797383</v>
      </c>
      <c r="U13" s="14">
        <f t="shared" si="4"/>
        <v>64841047.108391225</v>
      </c>
      <c r="V13" s="1"/>
      <c r="W13" s="1"/>
      <c r="X13" s="1"/>
      <c r="Y13" s="15"/>
    </row>
    <row r="14" spans="1:25" x14ac:dyDescent="0.25">
      <c r="A14" s="11" t="s">
        <v>18</v>
      </c>
      <c r="B14" s="12" t="s">
        <v>18</v>
      </c>
      <c r="C14" s="13">
        <v>0</v>
      </c>
      <c r="D14" s="13"/>
      <c r="E14" s="14">
        <f>+SUMIF(MFETR!$A:$A,$B14,MFETR!B:B)</f>
        <v>0</v>
      </c>
      <c r="F14" s="14">
        <f>+SUMIF(MFETR!$A:$A,$B14,MFETR!C:C)</f>
        <v>0</v>
      </c>
      <c r="G14" s="14">
        <f>+SUMIF(MFETR!$A:$A,$B14,MFETR!D:D)</f>
        <v>0</v>
      </c>
      <c r="H14" s="14">
        <f>+SUMIF(MFETR!$A:$A,$B14,MFETR!E:E)</f>
        <v>0</v>
      </c>
      <c r="I14" s="14">
        <f>+SUMIF(MFETR!$A:$A,$B14,MFETR!F:F)</f>
        <v>0</v>
      </c>
      <c r="J14" s="14">
        <f>+SUMIF(MFETR!$A:$A,$B14,MFETR!G:G)</f>
        <v>0</v>
      </c>
      <c r="K14" s="14">
        <f>+SUMIF(MFETR!$A:$A,$B14,MFETR!H:H)</f>
        <v>0</v>
      </c>
      <c r="L14" s="14">
        <f>+SUMIF(MFETR!$A:$A,$B14,MFETR!I:I)</f>
        <v>0</v>
      </c>
      <c r="M14" s="14">
        <f>+SUMIF(MFETR!$A:$A,$B14,MFETR!J:J)</f>
        <v>0</v>
      </c>
      <c r="N14" s="14">
        <f>+SUMIF(MFETR!$A:$A,$B14,MFETR!K:K)</f>
        <v>0</v>
      </c>
      <c r="O14" s="14">
        <f>+SUMIF(MFETR!$A:$A,$B14,MFETR!L:L)</f>
        <v>-423644270.60602039</v>
      </c>
      <c r="P14" s="14">
        <f>+SUMIF(MFETR!$A:$A,$B14,MFETR!M:M)</f>
        <v>0</v>
      </c>
      <c r="Q14" s="14">
        <f t="shared" si="0"/>
        <v>-423644270.60602039</v>
      </c>
      <c r="R14" s="14">
        <f t="shared" si="1"/>
        <v>0</v>
      </c>
      <c r="S14" s="14">
        <f t="shared" si="2"/>
        <v>423644270.60602039</v>
      </c>
      <c r="T14" s="14">
        <f t="shared" si="3"/>
        <v>423644270.60602039</v>
      </c>
      <c r="U14" s="14">
        <f t="shared" si="4"/>
        <v>0</v>
      </c>
      <c r="V14" s="1"/>
      <c r="W14" s="1"/>
      <c r="X14" s="1"/>
      <c r="Y14" s="15"/>
    </row>
    <row r="15" spans="1:25" x14ac:dyDescent="0.25">
      <c r="A15" s="11" t="s">
        <v>19</v>
      </c>
      <c r="B15" s="12" t="s">
        <v>19</v>
      </c>
      <c r="C15" s="13">
        <v>0</v>
      </c>
      <c r="D15" s="13"/>
      <c r="E15" s="14">
        <f>+SUMIF(MFETR!$A:$A,$B15,MFETR!B:B)</f>
        <v>0</v>
      </c>
      <c r="F15" s="14">
        <f>+SUMIF(MFETR!$A:$A,$B15,MFETR!C:C)</f>
        <v>0</v>
      </c>
      <c r="G15" s="14">
        <f>+SUMIF(MFETR!$A:$A,$B15,MFETR!D:D)</f>
        <v>0</v>
      </c>
      <c r="H15" s="14">
        <f>+SUMIF(MFETR!$A:$A,$B15,MFETR!E:E)</f>
        <v>0</v>
      </c>
      <c r="I15" s="14">
        <f>+SUMIF(MFETR!$A:$A,$B15,MFETR!F:F)</f>
        <v>0</v>
      </c>
      <c r="J15" s="14">
        <f>+SUMIF(MFETR!$A:$A,$B15,MFETR!G:G)</f>
        <v>0</v>
      </c>
      <c r="K15" s="14">
        <f>+SUMIF(MFETR!$A:$A,$B15,MFETR!H:H)</f>
        <v>0</v>
      </c>
      <c r="L15" s="14">
        <f>+SUMIF(MFETR!$A:$A,$B15,MFETR!I:I)</f>
        <v>0</v>
      </c>
      <c r="M15" s="14">
        <f>+SUMIF(MFETR!$A:$A,$B15,MFETR!J:J)</f>
        <v>0</v>
      </c>
      <c r="N15" s="14">
        <f>+SUMIF(MFETR!$A:$A,$B15,MFETR!K:K)</f>
        <v>0</v>
      </c>
      <c r="O15" s="14">
        <f>+SUMIF(MFETR!$A:$A,$B15,MFETR!L:L)</f>
        <v>0</v>
      </c>
      <c r="P15" s="14">
        <f>+SUMIF(MFETR!$A:$A,$B15,MFETR!M:M)</f>
        <v>0</v>
      </c>
      <c r="Q15" s="14">
        <f t="shared" si="0"/>
        <v>0</v>
      </c>
      <c r="R15" s="14">
        <f t="shared" si="1"/>
        <v>0</v>
      </c>
      <c r="S15" s="14">
        <f t="shared" si="2"/>
        <v>0</v>
      </c>
      <c r="T15" s="14">
        <f t="shared" si="3"/>
        <v>0</v>
      </c>
      <c r="U15" s="14">
        <f t="shared" si="4"/>
        <v>0</v>
      </c>
      <c r="V15" s="1"/>
      <c r="W15" s="1"/>
      <c r="X15" s="1"/>
      <c r="Y15" s="15"/>
    </row>
    <row r="16" spans="1:25" x14ac:dyDescent="0.25">
      <c r="A16" s="11" t="s">
        <v>20</v>
      </c>
      <c r="B16" s="12" t="s">
        <v>20</v>
      </c>
      <c r="C16" s="13">
        <v>0</v>
      </c>
      <c r="D16" s="13"/>
      <c r="E16" s="14">
        <f>+SUMIF(MFETR!$A:$A,$B16,MFETR!B:B)</f>
        <v>0</v>
      </c>
      <c r="F16" s="14">
        <f>+SUMIF(MFETR!$A:$A,$B16,MFETR!C:C)</f>
        <v>0</v>
      </c>
      <c r="G16" s="14">
        <f>+SUMIF(MFETR!$A:$A,$B16,MFETR!D:D)</f>
        <v>0</v>
      </c>
      <c r="H16" s="14">
        <f>+SUMIF(MFETR!$A:$A,$B16,MFETR!E:E)</f>
        <v>0</v>
      </c>
      <c r="I16" s="14">
        <f>+SUMIF(MFETR!$A:$A,$B16,MFETR!F:F)</f>
        <v>0</v>
      </c>
      <c r="J16" s="14">
        <f>+SUMIF(MFETR!$A:$A,$B16,MFETR!G:G)</f>
        <v>0</v>
      </c>
      <c r="K16" s="14">
        <f>+SUMIF(MFETR!$A:$A,$B16,MFETR!H:H)</f>
        <v>0</v>
      </c>
      <c r="L16" s="14">
        <f>+SUMIF(MFETR!$A:$A,$B16,MFETR!I:I)</f>
        <v>0</v>
      </c>
      <c r="M16" s="14">
        <f>+SUMIF(MFETR!$A:$A,$B16,MFETR!J:J)</f>
        <v>0</v>
      </c>
      <c r="N16" s="14">
        <f>+SUMIF(MFETR!$A:$A,$B16,MFETR!K:K)</f>
        <v>0</v>
      </c>
      <c r="O16" s="14">
        <f>+SUMIF(MFETR!$A:$A,$B16,MFETR!L:L)</f>
        <v>0</v>
      </c>
      <c r="P16" s="14">
        <f>+SUMIF(MFETR!$A:$A,$B16,MFETR!M:M)</f>
        <v>-357985429.37027299</v>
      </c>
      <c r="Q16" s="14">
        <f t="shared" si="0"/>
        <v>-357985429.37027299</v>
      </c>
      <c r="R16" s="14">
        <f t="shared" si="1"/>
        <v>0</v>
      </c>
      <c r="S16" s="14">
        <f t="shared" si="2"/>
        <v>357985429.37027299</v>
      </c>
      <c r="T16" s="14">
        <f t="shared" si="3"/>
        <v>357985429.37027299</v>
      </c>
      <c r="U16" s="14">
        <f t="shared" si="4"/>
        <v>0</v>
      </c>
      <c r="V16" s="1"/>
      <c r="W16" s="1"/>
      <c r="X16" s="1"/>
      <c r="Y16" s="15"/>
    </row>
    <row r="17" spans="1:25" x14ac:dyDescent="0.25">
      <c r="A17" s="11" t="s">
        <v>21</v>
      </c>
      <c r="B17" s="12" t="s">
        <v>21</v>
      </c>
      <c r="C17" s="13">
        <v>0</v>
      </c>
      <c r="D17" s="13"/>
      <c r="E17" s="14">
        <f>+SUMIF(MFETR!$A:$A,$B17,MFETR!B:B)</f>
        <v>0</v>
      </c>
      <c r="F17" s="14">
        <f>+SUMIF(MFETR!$A:$A,$B17,MFETR!C:C)</f>
        <v>0</v>
      </c>
      <c r="G17" s="14">
        <f>+SUMIF(MFETR!$A:$A,$B17,MFETR!D:D)</f>
        <v>0</v>
      </c>
      <c r="H17" s="14">
        <f>+SUMIF(MFETR!$A:$A,$B17,MFETR!E:E)</f>
        <v>0</v>
      </c>
      <c r="I17" s="14">
        <f>+SUMIF(MFETR!$A:$A,$B17,MFETR!F:F)</f>
        <v>0</v>
      </c>
      <c r="J17" s="14">
        <f>+SUMIF(MFETR!$A:$A,$B17,MFETR!G:G)</f>
        <v>0</v>
      </c>
      <c r="K17" s="14">
        <f>+SUMIF(MFETR!$A:$A,$B17,MFETR!H:H)</f>
        <v>0</v>
      </c>
      <c r="L17" s="14">
        <f>+SUMIF(MFETR!$A:$A,$B17,MFETR!I:I)</f>
        <v>0</v>
      </c>
      <c r="M17" s="14">
        <f>+SUMIF(MFETR!$A:$A,$B17,MFETR!J:J)</f>
        <v>0</v>
      </c>
      <c r="N17" s="14">
        <f>+SUMIF(MFETR!$A:$A,$B17,MFETR!K:K)</f>
        <v>-110484252.78290071</v>
      </c>
      <c r="O17" s="14">
        <f>+SUMIF(MFETR!$A:$A,$B17,MFETR!L:L)</f>
        <v>-548872830.9218086</v>
      </c>
      <c r="P17" s="14">
        <f>+SUMIF(MFETR!$A:$A,$B17,MFETR!M:M)</f>
        <v>28930219.80294878</v>
      </c>
      <c r="Q17" s="14">
        <f t="shared" si="0"/>
        <v>-630426863.90176046</v>
      </c>
      <c r="R17" s="14">
        <f t="shared" si="1"/>
        <v>0</v>
      </c>
      <c r="S17" s="14">
        <f t="shared" si="2"/>
        <v>630426863.90176046</v>
      </c>
      <c r="T17" s="14">
        <f t="shared" si="3"/>
        <v>630426863.90176046</v>
      </c>
      <c r="U17" s="14">
        <f t="shared" si="4"/>
        <v>0</v>
      </c>
      <c r="V17" s="1"/>
      <c r="W17" s="1"/>
      <c r="X17" s="1"/>
      <c r="Y17" s="15"/>
    </row>
    <row r="18" spans="1:25" x14ac:dyDescent="0.25">
      <c r="A18" s="11" t="s">
        <v>22</v>
      </c>
      <c r="B18" s="12" t="s">
        <v>22</v>
      </c>
      <c r="C18" s="13">
        <v>0</v>
      </c>
      <c r="D18" s="13"/>
      <c r="E18" s="14">
        <f>+SUMIF(MFETR!$A:$A,$B18,MFETR!B:B)</f>
        <v>0</v>
      </c>
      <c r="F18" s="14">
        <f>+SUMIF(MFETR!$A:$A,$B18,MFETR!C:C)</f>
        <v>0</v>
      </c>
      <c r="G18" s="14">
        <f>+SUMIF(MFETR!$A:$A,$B18,MFETR!D:D)</f>
        <v>0</v>
      </c>
      <c r="H18" s="14">
        <f>+SUMIF(MFETR!$A:$A,$B18,MFETR!E:E)</f>
        <v>0</v>
      </c>
      <c r="I18" s="14">
        <f>+SUMIF(MFETR!$A:$A,$B18,MFETR!F:F)</f>
        <v>0</v>
      </c>
      <c r="J18" s="14">
        <f>+SUMIF(MFETR!$A:$A,$B18,MFETR!G:G)</f>
        <v>0</v>
      </c>
      <c r="K18" s="14">
        <f>+SUMIF(MFETR!$A:$A,$B18,MFETR!H:H)</f>
        <v>0</v>
      </c>
      <c r="L18" s="14">
        <f>+SUMIF(MFETR!$A:$A,$B18,MFETR!I:I)</f>
        <v>0</v>
      </c>
      <c r="M18" s="14">
        <f>+SUMIF(MFETR!$A:$A,$B18,MFETR!J:J)</f>
        <v>0</v>
      </c>
      <c r="N18" s="14">
        <f>+SUMIF(MFETR!$A:$A,$B18,MFETR!K:K)</f>
        <v>0</v>
      </c>
      <c r="O18" s="14">
        <f>+SUMIF(MFETR!$A:$A,$B18,MFETR!L:L)</f>
        <v>-198875357.28433779</v>
      </c>
      <c r="P18" s="14">
        <f>+SUMIF(MFETR!$A:$A,$B18,MFETR!M:M)</f>
        <v>-216016827.32613751</v>
      </c>
      <c r="Q18" s="14">
        <f t="shared" si="0"/>
        <v>-414892184.6104753</v>
      </c>
      <c r="R18" s="14">
        <f t="shared" si="1"/>
        <v>0</v>
      </c>
      <c r="S18" s="14">
        <f t="shared" si="2"/>
        <v>414892184.6104753</v>
      </c>
      <c r="T18" s="14">
        <f t="shared" si="3"/>
        <v>414892184.6104753</v>
      </c>
      <c r="U18" s="14">
        <f t="shared" si="4"/>
        <v>0</v>
      </c>
      <c r="V18" s="1"/>
      <c r="W18" s="1"/>
      <c r="X18" s="1"/>
      <c r="Y18" s="15"/>
    </row>
    <row r="19" spans="1:25" x14ac:dyDescent="0.25">
      <c r="A19" s="11" t="s">
        <v>23</v>
      </c>
      <c r="B19" s="12" t="s">
        <v>23</v>
      </c>
      <c r="C19" s="13">
        <v>0</v>
      </c>
      <c r="D19" s="13">
        <v>-9145845.6307118833</v>
      </c>
      <c r="E19" s="14">
        <f>+SUMIF(MFETR!$A:$A,$B19,MFETR!B:B)</f>
        <v>0</v>
      </c>
      <c r="F19" s="14">
        <f>+SUMIF(MFETR!$A:$A,$B19,MFETR!C:C)</f>
        <v>0</v>
      </c>
      <c r="G19" s="14">
        <f>+SUMIF(MFETR!$A:$A,$B19,MFETR!D:D)</f>
        <v>0</v>
      </c>
      <c r="H19" s="14">
        <f>+SUMIF(MFETR!$A:$A,$B19,MFETR!E:E)</f>
        <v>0</v>
      </c>
      <c r="I19" s="14">
        <f>+SUMIF(MFETR!$A:$A,$B19,MFETR!F:F)</f>
        <v>0</v>
      </c>
      <c r="J19" s="14">
        <f>+SUMIF(MFETR!$A:$A,$B19,MFETR!G:G)</f>
        <v>0</v>
      </c>
      <c r="K19" s="14">
        <f>+SUMIF(MFETR!$A:$A,$B19,MFETR!H:H)</f>
        <v>0</v>
      </c>
      <c r="L19" s="14">
        <f>+SUMIF(MFETR!$A:$A,$B19,MFETR!I:I)</f>
        <v>0</v>
      </c>
      <c r="M19" s="14">
        <f>+SUMIF(MFETR!$A:$A,$B19,MFETR!J:J)</f>
        <v>0</v>
      </c>
      <c r="N19" s="14">
        <f>+SUMIF(MFETR!$A:$A,$B19,MFETR!K:K)</f>
        <v>0</v>
      </c>
      <c r="O19" s="14">
        <f>+SUMIF(MFETR!$A:$A,$B19,MFETR!L:L)</f>
        <v>-464860.93002562952</v>
      </c>
      <c r="P19" s="14">
        <f>+SUMIF(MFETR!$A:$A,$B19,MFETR!M:M)</f>
        <v>-3252733.3484666999</v>
      </c>
      <c r="Q19" s="14">
        <f>+(C19+D19)*(1+$B$4)+SUM(E19:P19)</f>
        <v>-12886833.034633277</v>
      </c>
      <c r="R19" s="14">
        <f t="shared" si="1"/>
        <v>0</v>
      </c>
      <c r="S19" s="14">
        <f t="shared" si="2"/>
        <v>12886833.034633277</v>
      </c>
      <c r="T19" s="14">
        <f t="shared" si="3"/>
        <v>12886833.034633277</v>
      </c>
      <c r="U19" s="14">
        <f t="shared" si="4"/>
        <v>0</v>
      </c>
      <c r="V19" s="1"/>
      <c r="W19" s="1"/>
      <c r="X19" s="1"/>
      <c r="Y19" s="15"/>
    </row>
    <row r="20" spans="1:25" x14ac:dyDescent="0.25">
      <c r="A20" s="11" t="s">
        <v>24</v>
      </c>
      <c r="B20" s="12" t="s">
        <v>24</v>
      </c>
      <c r="C20" s="13">
        <v>1197830.1590223052</v>
      </c>
      <c r="D20" s="13"/>
      <c r="E20" s="14">
        <f>+SUMIF(MFETR!$A:$A,$B20,MFETR!B:B)</f>
        <v>0</v>
      </c>
      <c r="F20" s="14">
        <f>+SUMIF(MFETR!$A:$A,$B20,MFETR!C:C)</f>
        <v>0</v>
      </c>
      <c r="G20" s="14">
        <f>+SUMIF(MFETR!$A:$A,$B20,MFETR!D:D)</f>
        <v>0</v>
      </c>
      <c r="H20" s="14">
        <f>+SUMIF(MFETR!$A:$A,$B20,MFETR!E:E)</f>
        <v>0</v>
      </c>
      <c r="I20" s="14">
        <f>+SUMIF(MFETR!$A:$A,$B20,MFETR!F:F)</f>
        <v>0</v>
      </c>
      <c r="J20" s="14">
        <f>+SUMIF(MFETR!$A:$A,$B20,MFETR!G:G)</f>
        <v>0</v>
      </c>
      <c r="K20" s="14">
        <f>+SUMIF(MFETR!$A:$A,$B20,MFETR!H:H)</f>
        <v>0</v>
      </c>
      <c r="L20" s="14">
        <f>+SUMIF(MFETR!$A:$A,$B20,MFETR!I:I)</f>
        <v>0</v>
      </c>
      <c r="M20" s="14">
        <f>+SUMIF(MFETR!$A:$A,$B20,MFETR!J:J)</f>
        <v>0</v>
      </c>
      <c r="N20" s="14">
        <f>+SUMIF(MFETR!$A:$A,$B20,MFETR!K:K)</f>
        <v>-90650.951368722395</v>
      </c>
      <c r="O20" s="14">
        <f>+SUMIF(MFETR!$A:$A,$B20,MFETR!L:L)</f>
        <v>14086379.932915511</v>
      </c>
      <c r="P20" s="14">
        <f>+SUMIF(MFETR!$A:$A,$B20,MFETR!M:M)</f>
        <v>6956258.2065143446</v>
      </c>
      <c r="Q20" s="14">
        <f t="shared" si="0"/>
        <v>22152881.141540959</v>
      </c>
      <c r="R20" s="14">
        <f t="shared" si="1"/>
        <v>22152881.141540959</v>
      </c>
      <c r="S20" s="14">
        <f t="shared" si="2"/>
        <v>0</v>
      </c>
      <c r="T20" s="14">
        <f t="shared" si="3"/>
        <v>-18867016.795978513</v>
      </c>
      <c r="U20" s="14">
        <f t="shared" si="4"/>
        <v>3285864.3455624469</v>
      </c>
      <c r="V20" s="1"/>
      <c r="W20" s="1"/>
      <c r="X20" s="1"/>
      <c r="Y20" s="15"/>
    </row>
    <row r="21" spans="1:25" x14ac:dyDescent="0.25">
      <c r="A21" s="11" t="s">
        <v>25</v>
      </c>
      <c r="B21" s="12" t="s">
        <v>25</v>
      </c>
      <c r="C21" s="13">
        <v>0</v>
      </c>
      <c r="D21" s="13"/>
      <c r="E21" s="14">
        <f>+SUMIF(MFETR!$A:$A,$B21,MFETR!B:B)</f>
        <v>3898.1582666791078</v>
      </c>
      <c r="F21" s="14">
        <f>+SUMIF(MFETR!$A:$A,$B21,MFETR!C:C)</f>
        <v>4795.3107483806216</v>
      </c>
      <c r="G21" s="14">
        <f>+SUMIF(MFETR!$A:$A,$B21,MFETR!D:D)</f>
        <v>-754.7973512896483</v>
      </c>
      <c r="H21" s="14">
        <f>+SUMIF(MFETR!$A:$A,$B21,MFETR!E:E)</f>
        <v>-3337.4793925097929</v>
      </c>
      <c r="I21" s="14">
        <f>+SUMIF(MFETR!$A:$A,$B21,MFETR!F:F)</f>
        <v>2516.914816861326</v>
      </c>
      <c r="J21" s="14">
        <f>+SUMIF(MFETR!$A:$A,$B21,MFETR!G:G)</f>
        <v>15654.559401795541</v>
      </c>
      <c r="K21" s="14">
        <f>+SUMIF(MFETR!$A:$A,$B21,MFETR!H:H)</f>
        <v>47274.119173467487</v>
      </c>
      <c r="L21" s="14">
        <f>+SUMIF(MFETR!$A:$A,$B21,MFETR!I:I)</f>
        <v>103393.7050472321</v>
      </c>
      <c r="M21" s="14">
        <f>+SUMIF(MFETR!$A:$A,$B21,MFETR!J:J)</f>
        <v>-1815986.9513214759</v>
      </c>
      <c r="N21" s="14">
        <f>+SUMIF(MFETR!$A:$A,$B21,MFETR!K:K)</f>
        <v>-56889773.137589946</v>
      </c>
      <c r="O21" s="14">
        <f>+SUMIF(MFETR!$A:$A,$B21,MFETR!L:L)</f>
        <v>-503684296.82788217</v>
      </c>
      <c r="P21" s="14">
        <f>+SUMIF(MFETR!$A:$A,$B21,MFETR!M:M)</f>
        <v>-151325584.56203261</v>
      </c>
      <c r="Q21" s="14">
        <f t="shared" si="0"/>
        <v>-713542200.98811555</v>
      </c>
      <c r="R21" s="14">
        <f t="shared" si="1"/>
        <v>0</v>
      </c>
      <c r="S21" s="14">
        <f t="shared" si="2"/>
        <v>713542200.98811555</v>
      </c>
      <c r="T21" s="14">
        <f t="shared" si="3"/>
        <v>713542200.98811555</v>
      </c>
      <c r="U21" s="14">
        <f t="shared" si="4"/>
        <v>0</v>
      </c>
      <c r="V21" s="1"/>
      <c r="W21" s="1"/>
      <c r="X21" s="1"/>
      <c r="Y21" s="15"/>
    </row>
    <row r="22" spans="1:25" x14ac:dyDescent="0.25">
      <c r="A22" s="11" t="s">
        <v>26</v>
      </c>
      <c r="B22" s="12" t="s">
        <v>26</v>
      </c>
      <c r="C22" s="13">
        <v>4698947.7731135339</v>
      </c>
      <c r="D22" s="13"/>
      <c r="E22" s="14">
        <f>+SUMIF(MFETR!$A:$A,$B22,MFETR!B:B)</f>
        <v>-1583.863585590572</v>
      </c>
      <c r="F22" s="14">
        <f>+SUMIF(MFETR!$A:$A,$B22,MFETR!C:C)</f>
        <v>0</v>
      </c>
      <c r="G22" s="14">
        <f>+SUMIF(MFETR!$A:$A,$B22,MFETR!D:D)</f>
        <v>0</v>
      </c>
      <c r="H22" s="14">
        <f>+SUMIF(MFETR!$A:$A,$B22,MFETR!E:E)</f>
        <v>0</v>
      </c>
      <c r="I22" s="14">
        <f>+SUMIF(MFETR!$A:$A,$B22,MFETR!F:F)</f>
        <v>0</v>
      </c>
      <c r="J22" s="14">
        <f>+SUMIF(MFETR!$A:$A,$B22,MFETR!G:G)</f>
        <v>0</v>
      </c>
      <c r="K22" s="14">
        <f>+SUMIF(MFETR!$A:$A,$B22,MFETR!H:H)</f>
        <v>1115.8369198191219</v>
      </c>
      <c r="L22" s="14">
        <f>+SUMIF(MFETR!$A:$A,$B22,MFETR!I:I)</f>
        <v>-9970.8766126094233</v>
      </c>
      <c r="M22" s="14">
        <f>+SUMIF(MFETR!$A:$A,$B22,MFETR!J:J)</f>
        <v>-2304.1352980865422</v>
      </c>
      <c r="N22" s="14">
        <f>+SUMIF(MFETR!$A:$A,$B22,MFETR!K:K)</f>
        <v>1270911.3548126901</v>
      </c>
      <c r="O22" s="14">
        <f>+SUMIF(MFETR!$A:$A,$B22,MFETR!L:L)</f>
        <v>40250679.9114272</v>
      </c>
      <c r="P22" s="14">
        <f>+SUMIF(MFETR!$A:$A,$B22,MFETR!M:M)</f>
        <v>49380983.982717231</v>
      </c>
      <c r="Q22" s="14">
        <f t="shared" si="0"/>
        <v>95600798.891212448</v>
      </c>
      <c r="R22" s="14">
        <f t="shared" si="1"/>
        <v>95600798.891212448</v>
      </c>
      <c r="S22" s="14">
        <f t="shared" si="2"/>
        <v>0</v>
      </c>
      <c r="T22" s="14">
        <f t="shared" si="3"/>
        <v>-81420645.32667841</v>
      </c>
      <c r="U22" s="14">
        <f t="shared" si="4"/>
        <v>14180153.564534038</v>
      </c>
      <c r="V22" s="1"/>
      <c r="W22" s="1"/>
      <c r="X22" s="1"/>
      <c r="Y22" s="15"/>
    </row>
    <row r="23" spans="1:25" x14ac:dyDescent="0.25">
      <c r="A23" s="11" t="s">
        <v>27</v>
      </c>
      <c r="B23" s="12" t="s">
        <v>27</v>
      </c>
      <c r="C23" s="13">
        <v>994078.27710664645</v>
      </c>
      <c r="D23" s="13"/>
      <c r="E23" s="14">
        <f>+SUMIF(MFETR!$A:$A,$B23,MFETR!B:B)</f>
        <v>0</v>
      </c>
      <c r="F23" s="14">
        <f>+SUMIF(MFETR!$A:$A,$B23,MFETR!C:C)</f>
        <v>0</v>
      </c>
      <c r="G23" s="14">
        <f>+SUMIF(MFETR!$A:$A,$B23,MFETR!D:D)</f>
        <v>0</v>
      </c>
      <c r="H23" s="14">
        <f>+SUMIF(MFETR!$A:$A,$B23,MFETR!E:E)</f>
        <v>0</v>
      </c>
      <c r="I23" s="14">
        <f>+SUMIF(MFETR!$A:$A,$B23,MFETR!F:F)</f>
        <v>0</v>
      </c>
      <c r="J23" s="14">
        <f>+SUMIF(MFETR!$A:$A,$B23,MFETR!G:G)</f>
        <v>0</v>
      </c>
      <c r="K23" s="14">
        <f>+SUMIF(MFETR!$A:$A,$B23,MFETR!H:H)</f>
        <v>0</v>
      </c>
      <c r="L23" s="14">
        <f>+SUMIF(MFETR!$A:$A,$B23,MFETR!I:I)</f>
        <v>0</v>
      </c>
      <c r="M23" s="14">
        <f>+SUMIF(MFETR!$A:$A,$B23,MFETR!J:J)</f>
        <v>49057.365690316074</v>
      </c>
      <c r="N23" s="14">
        <f>+SUMIF(MFETR!$A:$A,$B23,MFETR!K:K)</f>
        <v>118928.4276481674</v>
      </c>
      <c r="O23" s="14">
        <f>+SUMIF(MFETR!$A:$A,$B23,MFETR!L:L)</f>
        <v>11362777.1390994</v>
      </c>
      <c r="P23" s="14">
        <f>+SUMIF(MFETR!$A:$A,$B23,MFETR!M:M)</f>
        <v>4776691.1059421366</v>
      </c>
      <c r="Q23" s="14">
        <f t="shared" si="0"/>
        <v>17304074.956021138</v>
      </c>
      <c r="R23" s="14">
        <f t="shared" si="1"/>
        <v>17304074.956021138</v>
      </c>
      <c r="S23" s="14">
        <f t="shared" si="2"/>
        <v>0</v>
      </c>
      <c r="T23" s="14">
        <f t="shared" si="3"/>
        <v>-14737418.160110805</v>
      </c>
      <c r="U23" s="14">
        <f t="shared" si="4"/>
        <v>2566656.7959103324</v>
      </c>
      <c r="V23" s="1"/>
      <c r="W23" s="1"/>
      <c r="X23" s="1"/>
      <c r="Y23" s="15"/>
    </row>
    <row r="24" spans="1:25" x14ac:dyDescent="0.25">
      <c r="A24" s="11" t="s">
        <v>28</v>
      </c>
      <c r="B24" s="12" t="s">
        <v>28</v>
      </c>
      <c r="C24" s="13">
        <v>3860059.8479179591</v>
      </c>
      <c r="D24" s="13"/>
      <c r="E24" s="14">
        <f>+SUMIF(MFETR!$A:$A,$B24,MFETR!B:B)</f>
        <v>0</v>
      </c>
      <c r="F24" s="14">
        <f>+SUMIF(MFETR!$A:$A,$B24,MFETR!C:C)</f>
        <v>0</v>
      </c>
      <c r="G24" s="14">
        <f>+SUMIF(MFETR!$A:$A,$B24,MFETR!D:D)</f>
        <v>0</v>
      </c>
      <c r="H24" s="14">
        <f>+SUMIF(MFETR!$A:$A,$B24,MFETR!E:E)</f>
        <v>0</v>
      </c>
      <c r="I24" s="14">
        <f>+SUMIF(MFETR!$A:$A,$B24,MFETR!F:F)</f>
        <v>0</v>
      </c>
      <c r="J24" s="14">
        <f>+SUMIF(MFETR!$A:$A,$B24,MFETR!G:G)</f>
        <v>0</v>
      </c>
      <c r="K24" s="14">
        <f>+SUMIF(MFETR!$A:$A,$B24,MFETR!H:H)</f>
        <v>0</v>
      </c>
      <c r="L24" s="14">
        <f>+SUMIF(MFETR!$A:$A,$B24,MFETR!I:I)</f>
        <v>-749.08806823462146</v>
      </c>
      <c r="M24" s="14">
        <f>+SUMIF(MFETR!$A:$A,$B24,MFETR!J:J)</f>
        <v>-1324.000612355668</v>
      </c>
      <c r="N24" s="14">
        <f>+SUMIF(MFETR!$A:$A,$B24,MFETR!K:K)</f>
        <v>-3179.88116840876</v>
      </c>
      <c r="O24" s="14">
        <f>+SUMIF(MFETR!$A:$A,$B24,MFETR!L:L)</f>
        <v>16094509.812505711</v>
      </c>
      <c r="P24" s="14">
        <f>+SUMIF(MFETR!$A:$A,$B24,MFETR!M:M)</f>
        <v>51597005.801294588</v>
      </c>
      <c r="Q24" s="14">
        <f t="shared" si="0"/>
        <v>71556195.702923983</v>
      </c>
      <c r="R24" s="14">
        <f t="shared" si="1"/>
        <v>71556195.702923983</v>
      </c>
      <c r="S24" s="14">
        <f t="shared" si="2"/>
        <v>0</v>
      </c>
      <c r="T24" s="14">
        <f t="shared" si="3"/>
        <v>-60942499.42287562</v>
      </c>
      <c r="U24" s="14">
        <f t="shared" si="4"/>
        <v>10613696.280048363</v>
      </c>
      <c r="V24" s="1"/>
      <c r="W24" s="1"/>
      <c r="X24" s="1"/>
      <c r="Y24" s="15"/>
    </row>
    <row r="25" spans="1:25" x14ac:dyDescent="0.25">
      <c r="A25" s="11" t="s">
        <v>11</v>
      </c>
      <c r="B25" s="12" t="s">
        <v>29</v>
      </c>
      <c r="C25" s="13">
        <v>303469.47560399584</v>
      </c>
      <c r="D25" s="13"/>
      <c r="E25" s="14">
        <f>+SUMIF(MFETR!$A:$A,$B25,MFETR!B:B)</f>
        <v>0</v>
      </c>
      <c r="F25" s="14">
        <f>+SUMIF(MFETR!$A:$A,$B25,MFETR!C:C)</f>
        <v>0</v>
      </c>
      <c r="G25" s="14">
        <f>+SUMIF(MFETR!$A:$A,$B25,MFETR!D:D)</f>
        <v>0</v>
      </c>
      <c r="H25" s="14">
        <f>+SUMIF(MFETR!$A:$A,$B25,MFETR!E:E)</f>
        <v>0</v>
      </c>
      <c r="I25" s="14">
        <f>+SUMIF(MFETR!$A:$A,$B25,MFETR!F:F)</f>
        <v>0</v>
      </c>
      <c r="J25" s="14">
        <f>+SUMIF(MFETR!$A:$A,$B25,MFETR!G:G)</f>
        <v>0</v>
      </c>
      <c r="K25" s="14">
        <f>+SUMIF(MFETR!$A:$A,$B25,MFETR!H:H)</f>
        <v>0</v>
      </c>
      <c r="L25" s="14">
        <f>+SUMIF(MFETR!$A:$A,$B25,MFETR!I:I)</f>
        <v>0</v>
      </c>
      <c r="M25" s="14">
        <f>+SUMIF(MFETR!$A:$A,$B25,MFETR!J:J)</f>
        <v>4367.6792761892584</v>
      </c>
      <c r="N25" s="14">
        <f>+SUMIF(MFETR!$A:$A,$B25,MFETR!K:K)</f>
        <v>327629.11784593947</v>
      </c>
      <c r="O25" s="14">
        <f>+SUMIF(MFETR!$A:$A,$B25,MFETR!L:L)</f>
        <v>3186384.176435384</v>
      </c>
      <c r="P25" s="14">
        <f>+SUMIF(MFETR!$A:$A,$B25,MFETR!M:M)</f>
        <v>1027485.070683332</v>
      </c>
      <c r="Q25" s="14">
        <f t="shared" si="0"/>
        <v>4850111.730136741</v>
      </c>
      <c r="R25" s="14">
        <f t="shared" si="1"/>
        <v>4850111.730136741</v>
      </c>
      <c r="S25" s="14">
        <f t="shared" si="2"/>
        <v>0</v>
      </c>
      <c r="T25" s="14">
        <f t="shared" si="3"/>
        <v>-4130710.533325104</v>
      </c>
      <c r="U25" s="14">
        <f t="shared" si="4"/>
        <v>719401.19681163691</v>
      </c>
      <c r="V25" s="1"/>
      <c r="W25" s="1"/>
      <c r="X25" s="1"/>
      <c r="Y25" s="15"/>
    </row>
    <row r="26" spans="1:25" x14ac:dyDescent="0.25">
      <c r="A26" s="11" t="s">
        <v>11</v>
      </c>
      <c r="B26" s="12" t="s">
        <v>30</v>
      </c>
      <c r="C26" s="13">
        <v>15753755.84144032</v>
      </c>
      <c r="D26" s="13"/>
      <c r="E26" s="14">
        <f>+SUMIF(MFETR!$A:$A,$B26,MFETR!B:B)</f>
        <v>1182.72719351307</v>
      </c>
      <c r="F26" s="14">
        <f>+SUMIF(MFETR!$A:$A,$B26,MFETR!C:C)</f>
        <v>47874.63941643748</v>
      </c>
      <c r="G26" s="14">
        <f>+SUMIF(MFETR!$A:$A,$B26,MFETR!D:D)</f>
        <v>55974.675415467224</v>
      </c>
      <c r="H26" s="14">
        <f>+SUMIF(MFETR!$A:$A,$B26,MFETR!E:E)</f>
        <v>59587.442391885772</v>
      </c>
      <c r="I26" s="14">
        <f>+SUMIF(MFETR!$A:$A,$B26,MFETR!F:F)</f>
        <v>60093.213753046897</v>
      </c>
      <c r="J26" s="14">
        <f>+SUMIF(MFETR!$A:$A,$B26,MFETR!G:G)</f>
        <v>76068.155382843921</v>
      </c>
      <c r="K26" s="14">
        <f>+SUMIF(MFETR!$A:$A,$B26,MFETR!H:H)</f>
        <v>100979.7041289124</v>
      </c>
      <c r="L26" s="14">
        <f>+SUMIF(MFETR!$A:$A,$B26,MFETR!I:I)</f>
        <v>173336.05861894539</v>
      </c>
      <c r="M26" s="14">
        <f>+SUMIF(MFETR!$A:$A,$B26,MFETR!J:J)</f>
        <v>-1025507.816556707</v>
      </c>
      <c r="N26" s="14">
        <f>+SUMIF(MFETR!$A:$A,$B26,MFETR!K:K)</f>
        <v>4640224.5832825629</v>
      </c>
      <c r="O26" s="14">
        <f>+SUMIF(MFETR!$A:$A,$B26,MFETR!L:L)</f>
        <v>162834632.27006611</v>
      </c>
      <c r="P26" s="14">
        <f>+SUMIF(MFETR!$A:$A,$B26,MFETR!M:M)</f>
        <v>70243672.413434505</v>
      </c>
      <c r="Q26" s="14">
        <f t="shared" si="0"/>
        <v>253062168.66049898</v>
      </c>
      <c r="R26" s="14">
        <f t="shared" si="1"/>
        <v>253062168.66049898</v>
      </c>
      <c r="S26" s="14">
        <f t="shared" si="2"/>
        <v>0</v>
      </c>
      <c r="T26" s="14">
        <f t="shared" si="3"/>
        <v>-215526285.54446641</v>
      </c>
      <c r="U26" s="14">
        <f t="shared" si="4"/>
        <v>37535883.116032571</v>
      </c>
      <c r="V26" s="1"/>
      <c r="W26" s="1"/>
      <c r="X26" s="1"/>
      <c r="Y26" s="15"/>
    </row>
    <row r="27" spans="1:25" x14ac:dyDescent="0.25">
      <c r="A27" s="11" t="s">
        <v>11</v>
      </c>
      <c r="B27" s="12" t="s">
        <v>31</v>
      </c>
      <c r="C27" s="13">
        <v>8228303.2988497913</v>
      </c>
      <c r="D27" s="13"/>
      <c r="E27" s="14">
        <f>+SUMIF(MFETR!$A:$A,$B27,MFETR!B:B)</f>
        <v>35198.938450688504</v>
      </c>
      <c r="F27" s="14">
        <f>+SUMIF(MFETR!$A:$A,$B27,MFETR!C:C)</f>
        <v>120833.0796336691</v>
      </c>
      <c r="G27" s="14">
        <f>+SUMIF(MFETR!$A:$A,$B27,MFETR!D:D)</f>
        <v>119053.483366482</v>
      </c>
      <c r="H27" s="14">
        <f>+SUMIF(MFETR!$A:$A,$B27,MFETR!E:E)</f>
        <v>123220.89112271889</v>
      </c>
      <c r="I27" s="14">
        <f>+SUMIF(MFETR!$A:$A,$B27,MFETR!F:F)</f>
        <v>123631.6960265057</v>
      </c>
      <c r="J27" s="14">
        <f>+SUMIF(MFETR!$A:$A,$B27,MFETR!G:G)</f>
        <v>101602.7408823982</v>
      </c>
      <c r="K27" s="14">
        <f>+SUMIF(MFETR!$A:$A,$B27,MFETR!H:H)</f>
        <v>108873.73635253809</v>
      </c>
      <c r="L27" s="14">
        <f>+SUMIF(MFETR!$A:$A,$B27,MFETR!I:I)</f>
        <v>154003.1272185008</v>
      </c>
      <c r="M27" s="14">
        <f>+SUMIF(MFETR!$A:$A,$B27,MFETR!J:J)</f>
        <v>296519.98153261602</v>
      </c>
      <c r="N27" s="14">
        <f>+SUMIF(MFETR!$A:$A,$B27,MFETR!K:K)</f>
        <v>5483214.4265605053</v>
      </c>
      <c r="O27" s="14">
        <f>+SUMIF(MFETR!$A:$A,$B27,MFETR!L:L)</f>
        <v>78743820.410734802</v>
      </c>
      <c r="P27" s="14">
        <f>+SUMIF(MFETR!$A:$A,$B27,MFETR!M:M)</f>
        <v>49893782.704518951</v>
      </c>
      <c r="Q27" s="14">
        <f t="shared" si="0"/>
        <v>143553104.76279366</v>
      </c>
      <c r="R27" s="14">
        <f t="shared" si="1"/>
        <v>143553104.76279366</v>
      </c>
      <c r="S27" s="14">
        <f t="shared" si="2"/>
        <v>0</v>
      </c>
      <c r="T27" s="14">
        <f t="shared" si="3"/>
        <v>-122260342.63307083</v>
      </c>
      <c r="U27" s="14">
        <f t="shared" si="4"/>
        <v>21292762.129722834</v>
      </c>
      <c r="V27" s="1"/>
      <c r="W27" s="1"/>
      <c r="X27" s="1"/>
      <c r="Y27" s="15"/>
    </row>
    <row r="28" spans="1:25" x14ac:dyDescent="0.25">
      <c r="A28" s="11" t="s">
        <v>11</v>
      </c>
      <c r="B28" s="12" t="s">
        <v>32</v>
      </c>
      <c r="C28" s="13">
        <v>5203165.6279695928</v>
      </c>
      <c r="D28" s="13"/>
      <c r="E28" s="14">
        <f>+SUMIF(MFETR!$A:$A,$B28,MFETR!B:B)</f>
        <v>0</v>
      </c>
      <c r="F28" s="14">
        <f>+SUMIF(MFETR!$A:$A,$B28,MFETR!C:C)</f>
        <v>8908.400267347628</v>
      </c>
      <c r="G28" s="14">
        <f>+SUMIF(MFETR!$A:$A,$B28,MFETR!D:D)</f>
        <v>6435.449174346606</v>
      </c>
      <c r="H28" s="14">
        <f>+SUMIF(MFETR!$A:$A,$B28,MFETR!E:E)</f>
        <v>6277.2272531955823</v>
      </c>
      <c r="I28" s="14">
        <f>+SUMIF(MFETR!$A:$A,$B28,MFETR!F:F)</f>
        <v>10894.481816803769</v>
      </c>
      <c r="J28" s="14">
        <f>+SUMIF(MFETR!$A:$A,$B28,MFETR!G:G)</f>
        <v>10609.566567021489</v>
      </c>
      <c r="K28" s="14">
        <f>+SUMIF(MFETR!$A:$A,$B28,MFETR!H:H)</f>
        <v>17722.413236495111</v>
      </c>
      <c r="L28" s="14">
        <f>+SUMIF(MFETR!$A:$A,$B28,MFETR!I:I)</f>
        <v>35538.189011299852</v>
      </c>
      <c r="M28" s="14">
        <f>+SUMIF(MFETR!$A:$A,$B28,MFETR!J:J)</f>
        <v>119955.12721311609</v>
      </c>
      <c r="N28" s="14">
        <f>+SUMIF(MFETR!$A:$A,$B28,MFETR!K:K)</f>
        <v>1898009.052562654</v>
      </c>
      <c r="O28" s="14">
        <f>+SUMIF(MFETR!$A:$A,$B28,MFETR!L:L)</f>
        <v>56081741.232276917</v>
      </c>
      <c r="P28" s="14">
        <f>+SUMIF(MFETR!$A:$A,$B28,MFETR!M:M)</f>
        <v>28636147.230557401</v>
      </c>
      <c r="Q28" s="14">
        <f t="shared" si="0"/>
        <v>92048712.587519228</v>
      </c>
      <c r="R28" s="14">
        <f t="shared" si="1"/>
        <v>92048712.587519228</v>
      </c>
      <c r="S28" s="14">
        <f t="shared" si="2"/>
        <v>0</v>
      </c>
      <c r="T28" s="14">
        <f t="shared" si="3"/>
        <v>-78395428.357185677</v>
      </c>
      <c r="U28" s="14">
        <f t="shared" si="4"/>
        <v>13653284.230333552</v>
      </c>
      <c r="V28" s="1"/>
      <c r="W28" s="1"/>
      <c r="X28" s="1"/>
      <c r="Y28" s="15"/>
    </row>
    <row r="29" spans="1:25" x14ac:dyDescent="0.25">
      <c r="A29" s="11" t="s">
        <v>11</v>
      </c>
      <c r="B29" s="12" t="s">
        <v>33</v>
      </c>
      <c r="C29" s="13">
        <v>9014254.5531036556</v>
      </c>
      <c r="D29" s="13"/>
      <c r="E29" s="14">
        <f>+SUMIF(MFETR!$A:$A,$B29,MFETR!B:B)</f>
        <v>68626.117577233541</v>
      </c>
      <c r="F29" s="14">
        <f>+SUMIF(MFETR!$A:$A,$B29,MFETR!C:C)</f>
        <v>1353.8707116657749</v>
      </c>
      <c r="G29" s="14">
        <f>+SUMIF(MFETR!$A:$A,$B29,MFETR!D:D)</f>
        <v>1629.119593956799</v>
      </c>
      <c r="H29" s="14">
        <f>+SUMIF(MFETR!$A:$A,$B29,MFETR!E:E)</f>
        <v>202981.5420014722</v>
      </c>
      <c r="I29" s="14">
        <f>+SUMIF(MFETR!$A:$A,$B29,MFETR!F:F)</f>
        <v>543255.08137697272</v>
      </c>
      <c r="J29" s="14">
        <f>+SUMIF(MFETR!$A:$A,$B29,MFETR!G:G)</f>
        <v>547758.45468788582</v>
      </c>
      <c r="K29" s="14">
        <f>+SUMIF(MFETR!$A:$A,$B29,MFETR!H:H)</f>
        <v>468769.78977183008</v>
      </c>
      <c r="L29" s="14">
        <f>+SUMIF(MFETR!$A:$A,$B29,MFETR!I:I)</f>
        <v>486112.97207719041</v>
      </c>
      <c r="M29" s="14">
        <f>+SUMIF(MFETR!$A:$A,$B29,MFETR!J:J)</f>
        <v>671279.27054092742</v>
      </c>
      <c r="N29" s="14">
        <f>+SUMIF(MFETR!$A:$A,$B29,MFETR!K:K)</f>
        <v>5731277.2636060184</v>
      </c>
      <c r="O29" s="14">
        <f>+SUMIF(MFETR!$A:$A,$B29,MFETR!L:L)</f>
        <v>128453433.2728384</v>
      </c>
      <c r="P29" s="14">
        <f>+SUMIF(MFETR!$A:$A,$B29,MFETR!M:M)</f>
        <v>22961842.472050011</v>
      </c>
      <c r="Q29" s="14">
        <f t="shared" si="0"/>
        <v>169175630.32341331</v>
      </c>
      <c r="R29" s="14">
        <f t="shared" si="1"/>
        <v>169175630.32341331</v>
      </c>
      <c r="S29" s="14">
        <f t="shared" si="2"/>
        <v>0</v>
      </c>
      <c r="T29" s="14">
        <f t="shared" si="3"/>
        <v>-144082362.84881115</v>
      </c>
      <c r="U29" s="14">
        <f t="shared" si="4"/>
        <v>25093267.474602163</v>
      </c>
      <c r="V29" s="1"/>
      <c r="W29" s="1"/>
      <c r="X29" s="1"/>
      <c r="Y29" s="15"/>
    </row>
    <row r="30" spans="1:25" x14ac:dyDescent="0.25">
      <c r="A30" s="11" t="s">
        <v>34</v>
      </c>
      <c r="B30" s="12" t="s">
        <v>34</v>
      </c>
      <c r="C30" s="13">
        <v>0</v>
      </c>
      <c r="D30" s="13"/>
      <c r="E30" s="14">
        <f>+SUMIF(MFETR!$A:$A,$B30,MFETR!B:B)</f>
        <v>0</v>
      </c>
      <c r="F30" s="14">
        <f>+SUMIF(MFETR!$A:$A,$B30,MFETR!C:C)</f>
        <v>0</v>
      </c>
      <c r="G30" s="14">
        <f>+SUMIF(MFETR!$A:$A,$B30,MFETR!D:D)</f>
        <v>0</v>
      </c>
      <c r="H30" s="14">
        <f>+SUMIF(MFETR!$A:$A,$B30,MFETR!E:E)</f>
        <v>0</v>
      </c>
      <c r="I30" s="14">
        <f>+SUMIF(MFETR!$A:$A,$B30,MFETR!F:F)</f>
        <v>0</v>
      </c>
      <c r="J30" s="14">
        <f>+SUMIF(MFETR!$A:$A,$B30,MFETR!G:G)</f>
        <v>0</v>
      </c>
      <c r="K30" s="14">
        <f>+SUMIF(MFETR!$A:$A,$B30,MFETR!H:H)</f>
        <v>0</v>
      </c>
      <c r="L30" s="14">
        <f>+SUMIF(MFETR!$A:$A,$B30,MFETR!I:I)</f>
        <v>0</v>
      </c>
      <c r="M30" s="14">
        <f>+SUMIF(MFETR!$A:$A,$B30,MFETR!J:J)</f>
        <v>0</v>
      </c>
      <c r="N30" s="14">
        <f>+SUMIF(MFETR!$A:$A,$B30,MFETR!K:K)</f>
        <v>0</v>
      </c>
      <c r="O30" s="14">
        <f>+SUMIF(MFETR!$A:$A,$B30,MFETR!L:L)</f>
        <v>-95962282.458007023</v>
      </c>
      <c r="P30" s="14">
        <f>+SUMIF(MFETR!$A:$A,$B30,MFETR!M:M)</f>
        <v>-84632717.756388038</v>
      </c>
      <c r="Q30" s="14">
        <f t="shared" si="0"/>
        <v>-180595000.21439505</v>
      </c>
      <c r="R30" s="14">
        <f t="shared" si="1"/>
        <v>0</v>
      </c>
      <c r="S30" s="14">
        <f t="shared" si="2"/>
        <v>180595000.21439505</v>
      </c>
      <c r="T30" s="14">
        <f t="shared" si="3"/>
        <v>180595000.21439505</v>
      </c>
      <c r="U30" s="14">
        <f t="shared" si="4"/>
        <v>0</v>
      </c>
      <c r="V30" s="1"/>
      <c r="W30" s="1"/>
      <c r="X30" s="1"/>
      <c r="Y30" s="15"/>
    </row>
    <row r="31" spans="1:25" x14ac:dyDescent="0.25">
      <c r="A31" s="11" t="s">
        <v>35</v>
      </c>
      <c r="B31" s="12" t="s">
        <v>35</v>
      </c>
      <c r="C31" s="13">
        <v>0</v>
      </c>
      <c r="D31" s="13"/>
      <c r="E31" s="14">
        <f>+SUMIF(MFETR!$A:$A,$B31,MFETR!B:B)</f>
        <v>95774.566745105258</v>
      </c>
      <c r="F31" s="14">
        <f>+SUMIF(MFETR!$A:$A,$B31,MFETR!C:C)</f>
        <v>93177.721532451542</v>
      </c>
      <c r="G31" s="14">
        <f>+SUMIF(MFETR!$A:$A,$B31,MFETR!D:D)</f>
        <v>169083.19869511871</v>
      </c>
      <c r="H31" s="14">
        <f>+SUMIF(MFETR!$A:$A,$B31,MFETR!E:E)</f>
        <v>833294.27360390383</v>
      </c>
      <c r="I31" s="14">
        <f>+SUMIF(MFETR!$A:$A,$B31,MFETR!F:F)</f>
        <v>880147.90160026099</v>
      </c>
      <c r="J31" s="14">
        <f>+SUMIF(MFETR!$A:$A,$B31,MFETR!G:G)</f>
        <v>954666.17590833898</v>
      </c>
      <c r="K31" s="14">
        <f>+SUMIF(MFETR!$A:$A,$B31,MFETR!H:H)</f>
        <v>937265.72548264056</v>
      </c>
      <c r="L31" s="14">
        <f>+SUMIF(MFETR!$A:$A,$B31,MFETR!I:I)</f>
        <v>1545663.4991280739</v>
      </c>
      <c r="M31" s="14">
        <f>+SUMIF(MFETR!$A:$A,$B31,MFETR!J:J)</f>
        <v>1751375.9471060529</v>
      </c>
      <c r="N31" s="14">
        <f>+SUMIF(MFETR!$A:$A,$B31,MFETR!K:K)</f>
        <v>-93247735.745856881</v>
      </c>
      <c r="O31" s="14">
        <f>+SUMIF(MFETR!$A:$A,$B31,MFETR!L:L)</f>
        <v>-1071297471.9590811</v>
      </c>
      <c r="P31" s="14">
        <f>+SUMIF(MFETR!$A:$A,$B31,MFETR!M:M)</f>
        <v>-544135256.21946299</v>
      </c>
      <c r="Q31" s="14">
        <f t="shared" si="0"/>
        <v>-1701420014.9145989</v>
      </c>
      <c r="R31" s="14">
        <f t="shared" si="1"/>
        <v>0</v>
      </c>
      <c r="S31" s="14">
        <f t="shared" si="2"/>
        <v>1701420014.9145989</v>
      </c>
      <c r="T31" s="14">
        <f t="shared" si="3"/>
        <v>1701420014.9145987</v>
      </c>
      <c r="U31" s="14">
        <f t="shared" si="4"/>
        <v>0</v>
      </c>
      <c r="V31" s="1"/>
      <c r="W31" s="1"/>
      <c r="X31" s="1"/>
      <c r="Y31" s="15"/>
    </row>
    <row r="32" spans="1:25" x14ac:dyDescent="0.25">
      <c r="A32" s="11" t="s">
        <v>36</v>
      </c>
      <c r="B32" s="12" t="s">
        <v>36</v>
      </c>
      <c r="C32" s="13">
        <v>902430.06335951015</v>
      </c>
      <c r="D32" s="13"/>
      <c r="E32" s="14">
        <f>+SUMIF(MFETR!$A:$A,$B32,MFETR!B:B)</f>
        <v>0</v>
      </c>
      <c r="F32" s="14">
        <f>+SUMIF(MFETR!$A:$A,$B32,MFETR!C:C)</f>
        <v>0</v>
      </c>
      <c r="G32" s="14">
        <f>+SUMIF(MFETR!$A:$A,$B32,MFETR!D:D)</f>
        <v>0</v>
      </c>
      <c r="H32" s="14">
        <f>+SUMIF(MFETR!$A:$A,$B32,MFETR!E:E)</f>
        <v>0</v>
      </c>
      <c r="I32" s="14">
        <f>+SUMIF(MFETR!$A:$A,$B32,MFETR!F:F)</f>
        <v>0</v>
      </c>
      <c r="J32" s="14">
        <f>+SUMIF(MFETR!$A:$A,$B32,MFETR!G:G)</f>
        <v>137.34380813033201</v>
      </c>
      <c r="K32" s="14">
        <f>+SUMIF(MFETR!$A:$A,$B32,MFETR!H:H)</f>
        <v>156.0624200224411</v>
      </c>
      <c r="L32" s="14">
        <f>+SUMIF(MFETR!$A:$A,$B32,MFETR!I:I)</f>
        <v>183.72697198952659</v>
      </c>
      <c r="M32" s="14">
        <f>+SUMIF(MFETR!$A:$A,$B32,MFETR!J:J)</f>
        <v>216.04804960155161</v>
      </c>
      <c r="N32" s="14">
        <f>+SUMIF(MFETR!$A:$A,$B32,MFETR!K:K)</f>
        <v>519.33689305429289</v>
      </c>
      <c r="O32" s="14">
        <f>+SUMIF(MFETR!$A:$A,$B32,MFETR!L:L)</f>
        <v>8532520.9074443486</v>
      </c>
      <c r="P32" s="14">
        <f>+SUMIF(MFETR!$A:$A,$B32,MFETR!M:M)</f>
        <v>7063646.1348346937</v>
      </c>
      <c r="Q32" s="14">
        <f t="shared" si="0"/>
        <v>16502117.84770241</v>
      </c>
      <c r="R32" s="14">
        <f t="shared" si="1"/>
        <v>16502117.84770241</v>
      </c>
      <c r="S32" s="14">
        <f t="shared" si="2"/>
        <v>0</v>
      </c>
      <c r="T32" s="14">
        <f t="shared" si="3"/>
        <v>-14054412.72458165</v>
      </c>
      <c r="U32" s="14">
        <f t="shared" si="4"/>
        <v>2447705.1231207605</v>
      </c>
      <c r="V32" s="1"/>
      <c r="W32" s="1"/>
      <c r="X32" s="1"/>
      <c r="Y32" s="15"/>
    </row>
    <row r="33" spans="1:25" x14ac:dyDescent="0.25">
      <c r="A33" s="11" t="s">
        <v>13</v>
      </c>
      <c r="B33" s="12" t="s">
        <v>37</v>
      </c>
      <c r="C33" s="13">
        <v>0</v>
      </c>
      <c r="D33" s="13"/>
      <c r="E33" s="14">
        <f>+SUMIF(MFETR!$A:$A,$B33,MFETR!B:B)</f>
        <v>0</v>
      </c>
      <c r="F33" s="14">
        <f>+SUMIF(MFETR!$A:$A,$B33,MFETR!C:C)</f>
        <v>0</v>
      </c>
      <c r="G33" s="14">
        <f>+SUMIF(MFETR!$A:$A,$B33,MFETR!D:D)</f>
        <v>0</v>
      </c>
      <c r="H33" s="14">
        <f>+SUMIF(MFETR!$A:$A,$B33,MFETR!E:E)</f>
        <v>0</v>
      </c>
      <c r="I33" s="14">
        <f>+SUMIF(MFETR!$A:$A,$B33,MFETR!F:F)</f>
        <v>0</v>
      </c>
      <c r="J33" s="14">
        <f>+SUMIF(MFETR!$A:$A,$B33,MFETR!G:G)</f>
        <v>0</v>
      </c>
      <c r="K33" s="14">
        <f>+SUMIF(MFETR!$A:$A,$B33,MFETR!H:H)</f>
        <v>0</v>
      </c>
      <c r="L33" s="14">
        <f>+SUMIF(MFETR!$A:$A,$B33,MFETR!I:I)</f>
        <v>0</v>
      </c>
      <c r="M33" s="14">
        <f>+SUMIF(MFETR!$A:$A,$B33,MFETR!J:J)</f>
        <v>0</v>
      </c>
      <c r="N33" s="14">
        <f>+SUMIF(MFETR!$A:$A,$B33,MFETR!K:K)</f>
        <v>0</v>
      </c>
      <c r="O33" s="14">
        <f>+SUMIF(MFETR!$A:$A,$B33,MFETR!L:L)</f>
        <v>0</v>
      </c>
      <c r="P33" s="14">
        <f>+SUMIF(MFETR!$A:$A,$B33,MFETR!M:M)</f>
        <v>0</v>
      </c>
      <c r="Q33" s="14">
        <f t="shared" si="0"/>
        <v>0</v>
      </c>
      <c r="R33" s="14">
        <f t="shared" si="1"/>
        <v>0</v>
      </c>
      <c r="S33" s="14">
        <f>+IF(Q33&lt;0,-Q33,0)</f>
        <v>0</v>
      </c>
      <c r="T33" s="14">
        <f t="shared" si="3"/>
        <v>0</v>
      </c>
      <c r="U33" s="14">
        <f>+T33+Q33</f>
        <v>0</v>
      </c>
      <c r="V33" s="1"/>
      <c r="W33" s="1"/>
      <c r="X33" s="1"/>
      <c r="Y33" s="15"/>
    </row>
    <row r="34" spans="1:25" x14ac:dyDescent="0.25">
      <c r="A34" s="11" t="s">
        <v>38</v>
      </c>
      <c r="B34" s="12" t="s">
        <v>38</v>
      </c>
      <c r="C34" s="13">
        <v>0</v>
      </c>
      <c r="D34" s="13"/>
      <c r="E34" s="14">
        <f>+SUMIF(MFETR!$A:$A,$B34,MFETR!B:B)</f>
        <v>21074.102261846001</v>
      </c>
      <c r="F34" s="14">
        <f>+SUMIF(MFETR!$A:$A,$B34,MFETR!C:C)</f>
        <v>39977.566584758242</v>
      </c>
      <c r="G34" s="14">
        <f>+SUMIF(MFETR!$A:$A,$B34,MFETR!D:D)</f>
        <v>41846.701032656681</v>
      </c>
      <c r="H34" s="14">
        <f>+SUMIF(MFETR!$A:$A,$B34,MFETR!E:E)</f>
        <v>50435.073384548501</v>
      </c>
      <c r="I34" s="14">
        <f>+SUMIF(MFETR!$A:$A,$B34,MFETR!F:F)</f>
        <v>47562.976192155133</v>
      </c>
      <c r="J34" s="14">
        <f>+SUMIF(MFETR!$A:$A,$B34,MFETR!G:G)</f>
        <v>-26939.175016736979</v>
      </c>
      <c r="K34" s="14">
        <f>+SUMIF(MFETR!$A:$A,$B34,MFETR!H:H)</f>
        <v>7273.1803939734373</v>
      </c>
      <c r="L34" s="14">
        <f>+SUMIF(MFETR!$A:$A,$B34,MFETR!I:I)</f>
        <v>596223.94088945957</v>
      </c>
      <c r="M34" s="14">
        <f>+SUMIF(MFETR!$A:$A,$B34,MFETR!J:J)</f>
        <v>478316.13054985623</v>
      </c>
      <c r="N34" s="14">
        <f>+SUMIF(MFETR!$A:$A,$B34,MFETR!K:K)</f>
        <v>-73365051.028562129</v>
      </c>
      <c r="O34" s="14">
        <f>+SUMIF(MFETR!$A:$A,$B34,MFETR!L:L)</f>
        <v>-126965331.2813541</v>
      </c>
      <c r="P34" s="14">
        <f>+SUMIF(MFETR!$A:$A,$B34,MFETR!M:M)</f>
        <v>-87415036.370020509</v>
      </c>
      <c r="Q34" s="14">
        <f t="shared" si="0"/>
        <v>-286489648.1836642</v>
      </c>
      <c r="R34" s="14">
        <f t="shared" si="1"/>
        <v>0</v>
      </c>
      <c r="S34" s="14">
        <f t="shared" si="2"/>
        <v>286489648.1836642</v>
      </c>
      <c r="T34" s="14">
        <f t="shared" si="3"/>
        <v>286489648.1836642</v>
      </c>
      <c r="U34" s="14">
        <f t="shared" si="4"/>
        <v>0</v>
      </c>
      <c r="V34" s="1"/>
      <c r="W34" s="1"/>
      <c r="X34" s="1"/>
      <c r="Y34" s="15"/>
    </row>
    <row r="35" spans="1:25" x14ac:dyDescent="0.25">
      <c r="A35" s="11" t="s">
        <v>39</v>
      </c>
      <c r="B35" s="12" t="s">
        <v>39</v>
      </c>
      <c r="C35" s="13">
        <v>0</v>
      </c>
      <c r="D35" s="13"/>
      <c r="E35" s="14">
        <f>+SUMIF(MFETR!$A:$A,$B35,MFETR!B:B)</f>
        <v>156508.05153008629</v>
      </c>
      <c r="F35" s="14">
        <f>+SUMIF(MFETR!$A:$A,$B35,MFETR!C:C)</f>
        <v>9225.4635853486652</v>
      </c>
      <c r="G35" s="14">
        <f>+SUMIF(MFETR!$A:$A,$B35,MFETR!D:D)</f>
        <v>3320.1308024959221</v>
      </c>
      <c r="H35" s="14">
        <f>+SUMIF(MFETR!$A:$A,$B35,MFETR!E:E)</f>
        <v>-4594.697202664378</v>
      </c>
      <c r="I35" s="14">
        <f>+SUMIF(MFETR!$A:$A,$B35,MFETR!F:F)</f>
        <v>-96805.650486390543</v>
      </c>
      <c r="J35" s="14">
        <f>+SUMIF(MFETR!$A:$A,$B35,MFETR!G:G)</f>
        <v>-9663.4576226687841</v>
      </c>
      <c r="K35" s="14">
        <f>+SUMIF(MFETR!$A:$A,$B35,MFETR!H:H)</f>
        <v>-419755.92677174049</v>
      </c>
      <c r="L35" s="14">
        <f>+SUMIF(MFETR!$A:$A,$B35,MFETR!I:I)</f>
        <v>-309735.28300497087</v>
      </c>
      <c r="M35" s="14">
        <f>+SUMIF(MFETR!$A:$A,$B35,MFETR!J:J)</f>
        <v>371575.06618490012</v>
      </c>
      <c r="N35" s="14">
        <f>+SUMIF(MFETR!$A:$A,$B35,MFETR!K:K)</f>
        <v>-9396515.5346788745</v>
      </c>
      <c r="O35" s="14">
        <f>+SUMIF(MFETR!$A:$A,$B35,MFETR!L:L)</f>
        <v>-227343747.6247704</v>
      </c>
      <c r="P35" s="14">
        <f>+SUMIF(MFETR!$A:$A,$B35,MFETR!M:M)</f>
        <v>-119292441.139249</v>
      </c>
      <c r="Q35" s="14">
        <f t="shared" si="0"/>
        <v>-356332630.60168386</v>
      </c>
      <c r="R35" s="14">
        <f t="shared" si="1"/>
        <v>0</v>
      </c>
      <c r="S35" s="14">
        <f t="shared" si="2"/>
        <v>356332630.60168386</v>
      </c>
      <c r="T35" s="14">
        <f t="shared" si="3"/>
        <v>356332630.60168386</v>
      </c>
      <c r="U35" s="14">
        <f t="shared" si="4"/>
        <v>0</v>
      </c>
      <c r="V35" s="1"/>
      <c r="W35" s="1"/>
      <c r="X35" s="1"/>
      <c r="Y35" s="15"/>
    </row>
    <row r="36" spans="1:25" x14ac:dyDescent="0.25">
      <c r="A36" s="11" t="s">
        <v>40</v>
      </c>
      <c r="B36" s="12" t="s">
        <v>40</v>
      </c>
      <c r="C36" s="13">
        <v>0</v>
      </c>
      <c r="D36" s="13"/>
      <c r="E36" s="14">
        <f>+SUMIF(MFETR!$A:$A,$B36,MFETR!B:B)</f>
        <v>-37041.134332000009</v>
      </c>
      <c r="F36" s="14">
        <f>+SUMIF(MFETR!$A:$A,$B36,MFETR!C:C)</f>
        <v>-29614.36503981239</v>
      </c>
      <c r="G36" s="14">
        <f>+SUMIF(MFETR!$A:$A,$B36,MFETR!D:D)</f>
        <v>-902707.40497963538</v>
      </c>
      <c r="H36" s="14">
        <f>+SUMIF(MFETR!$A:$A,$B36,MFETR!E:E)</f>
        <v>31660.25811446361</v>
      </c>
      <c r="I36" s="14">
        <f>+SUMIF(MFETR!$A:$A,$B36,MFETR!F:F)</f>
        <v>-635712.98063410551</v>
      </c>
      <c r="J36" s="14">
        <f>+SUMIF(MFETR!$A:$A,$B36,MFETR!G:G)</f>
        <v>-606543.383179661</v>
      </c>
      <c r="K36" s="14">
        <f>+SUMIF(MFETR!$A:$A,$B36,MFETR!H:H)</f>
        <v>-523675.62925762421</v>
      </c>
      <c r="L36" s="14">
        <f>+SUMIF(MFETR!$A:$A,$B36,MFETR!I:I)</f>
        <v>-394124.83979357022</v>
      </c>
      <c r="M36" s="14">
        <f>+SUMIF(MFETR!$A:$A,$B36,MFETR!J:J)</f>
        <v>-555145.02166317578</v>
      </c>
      <c r="N36" s="14">
        <f>+SUMIF(MFETR!$A:$A,$B36,MFETR!K:K)</f>
        <v>-16344775.08996864</v>
      </c>
      <c r="O36" s="14">
        <f>+SUMIF(MFETR!$A:$A,$B36,MFETR!L:L)</f>
        <v>-221587275.55767009</v>
      </c>
      <c r="P36" s="14">
        <f>+SUMIF(MFETR!$A:$A,$B36,MFETR!M:M)</f>
        <v>-38610053.304422781</v>
      </c>
      <c r="Q36" s="14">
        <f t="shared" si="0"/>
        <v>-280195008.45282662</v>
      </c>
      <c r="R36" s="14">
        <f t="shared" si="1"/>
        <v>0</v>
      </c>
      <c r="S36" s="14">
        <f t="shared" si="2"/>
        <v>280195008.45282662</v>
      </c>
      <c r="T36" s="14">
        <f t="shared" si="3"/>
        <v>280195008.45282662</v>
      </c>
      <c r="U36" s="14">
        <f t="shared" si="4"/>
        <v>0</v>
      </c>
      <c r="V36" s="1"/>
      <c r="W36" s="1"/>
      <c r="X36" s="1"/>
      <c r="Y36" s="15"/>
    </row>
    <row r="37" spans="1:25" x14ac:dyDescent="0.25">
      <c r="A37" s="11" t="s">
        <v>41</v>
      </c>
      <c r="B37" s="12" t="s">
        <v>41</v>
      </c>
      <c r="C37" s="13">
        <v>0</v>
      </c>
      <c r="D37" s="13"/>
      <c r="E37" s="14">
        <f>+SUMIF(MFETR!$A:$A,$B37,MFETR!B:B)</f>
        <v>0</v>
      </c>
      <c r="F37" s="14">
        <f>+SUMIF(MFETR!$A:$A,$B37,MFETR!C:C)</f>
        <v>0</v>
      </c>
      <c r="G37" s="14">
        <f>+SUMIF(MFETR!$A:$A,$B37,MFETR!D:D)</f>
        <v>0</v>
      </c>
      <c r="H37" s="14">
        <f>+SUMIF(MFETR!$A:$A,$B37,MFETR!E:E)</f>
        <v>0</v>
      </c>
      <c r="I37" s="14">
        <f>+SUMIF(MFETR!$A:$A,$B37,MFETR!F:F)</f>
        <v>0</v>
      </c>
      <c r="J37" s="14">
        <f>+SUMIF(MFETR!$A:$A,$B37,MFETR!G:G)</f>
        <v>0</v>
      </c>
      <c r="K37" s="14">
        <f>+SUMIF(MFETR!$A:$A,$B37,MFETR!H:H)</f>
        <v>0</v>
      </c>
      <c r="L37" s="14">
        <f>+SUMIF(MFETR!$A:$A,$B37,MFETR!I:I)</f>
        <v>0</v>
      </c>
      <c r="M37" s="14">
        <f>+SUMIF(MFETR!$A:$A,$B37,MFETR!J:J)</f>
        <v>0</v>
      </c>
      <c r="N37" s="14">
        <f>+SUMIF(MFETR!$A:$A,$B37,MFETR!K:K)</f>
        <v>0</v>
      </c>
      <c r="O37" s="14">
        <f>+SUMIF(MFETR!$A:$A,$B37,MFETR!L:L)</f>
        <v>0</v>
      </c>
      <c r="P37" s="14">
        <f>+SUMIF(MFETR!$A:$A,$B37,MFETR!M:M)</f>
        <v>-2031061.7275381091</v>
      </c>
      <c r="Q37" s="14">
        <f t="shared" si="0"/>
        <v>-2031061.7275381091</v>
      </c>
      <c r="R37" s="14">
        <f t="shared" si="1"/>
        <v>0</v>
      </c>
      <c r="S37" s="14">
        <f t="shared" si="2"/>
        <v>2031061.7275381091</v>
      </c>
      <c r="T37" s="14">
        <f t="shared" si="3"/>
        <v>2031061.7275381091</v>
      </c>
      <c r="U37" s="14">
        <f t="shared" si="4"/>
        <v>0</v>
      </c>
      <c r="V37" s="1"/>
      <c r="W37" s="1"/>
      <c r="X37" s="1"/>
      <c r="Y37" s="15"/>
    </row>
    <row r="38" spans="1:25" x14ac:dyDescent="0.25">
      <c r="A38" s="11" t="s">
        <v>42</v>
      </c>
      <c r="B38" s="12" t="s">
        <v>42</v>
      </c>
      <c r="C38" s="13">
        <v>16871323.142742395</v>
      </c>
      <c r="D38" s="13"/>
      <c r="E38" s="14">
        <f>+SUMIF(MFETR!$A:$A,$B38,MFETR!B:B)</f>
        <v>-74.92054383395589</v>
      </c>
      <c r="F38" s="14">
        <f>+SUMIF(MFETR!$A:$A,$B38,MFETR!C:C)</f>
        <v>-4903.4028087066126</v>
      </c>
      <c r="G38" s="14">
        <f>+SUMIF(MFETR!$A:$A,$B38,MFETR!D:D)</f>
        <v>-2617.4194664492661</v>
      </c>
      <c r="H38" s="14">
        <f>+SUMIF(MFETR!$A:$A,$B38,MFETR!E:E)</f>
        <v>1788.196107174251</v>
      </c>
      <c r="I38" s="14">
        <f>+SUMIF(MFETR!$A:$A,$B38,MFETR!F:F)</f>
        <v>11601.90247163507</v>
      </c>
      <c r="J38" s="14">
        <f>+SUMIF(MFETR!$A:$A,$B38,MFETR!G:G)</f>
        <v>14951.65087139485</v>
      </c>
      <c r="K38" s="14">
        <f>+SUMIF(MFETR!$A:$A,$B38,MFETR!H:H)</f>
        <v>-36794.935302938917</v>
      </c>
      <c r="L38" s="14">
        <f>+SUMIF(MFETR!$A:$A,$B38,MFETR!I:I)</f>
        <v>-366133.04296366213</v>
      </c>
      <c r="M38" s="14">
        <f>+SUMIF(MFETR!$A:$A,$B38,MFETR!J:J)</f>
        <v>-94505.466915220313</v>
      </c>
      <c r="N38" s="14">
        <f>+SUMIF(MFETR!$A:$A,$B38,MFETR!K:K)</f>
        <v>-2835014.0289702639</v>
      </c>
      <c r="O38" s="14">
        <f>+SUMIF(MFETR!$A:$A,$B38,MFETR!L:L)</f>
        <v>334024036.66822821</v>
      </c>
      <c r="P38" s="14">
        <f>+SUMIF(MFETR!$A:$A,$B38,MFETR!M:M)</f>
        <v>-27277190.06085651</v>
      </c>
      <c r="Q38" s="14">
        <f t="shared" si="0"/>
        <v>320349621.53428453</v>
      </c>
      <c r="R38" s="14">
        <f t="shared" si="1"/>
        <v>320349621.53428453</v>
      </c>
      <c r="S38" s="14">
        <f t="shared" si="2"/>
        <v>0</v>
      </c>
      <c r="T38" s="14">
        <f t="shared" si="3"/>
        <v>-272833210.78895479</v>
      </c>
      <c r="U38" s="14">
        <f t="shared" si="4"/>
        <v>47516410.745329738</v>
      </c>
      <c r="V38" s="1"/>
      <c r="W38" s="1"/>
      <c r="X38" s="1"/>
      <c r="Y38" s="15"/>
    </row>
    <row r="39" spans="1:25" x14ac:dyDescent="0.25">
      <c r="A39" s="11" t="s">
        <v>43</v>
      </c>
      <c r="B39" s="12" t="s">
        <v>43</v>
      </c>
      <c r="C39" s="13">
        <v>0</v>
      </c>
      <c r="D39" s="13"/>
      <c r="E39" s="14">
        <f>+SUMIF(MFETR!$A:$A,$B39,MFETR!B:B)</f>
        <v>0</v>
      </c>
      <c r="F39" s="14">
        <f>+SUMIF(MFETR!$A:$A,$B39,MFETR!C:C)</f>
        <v>0</v>
      </c>
      <c r="G39" s="14">
        <f>+SUMIF(MFETR!$A:$A,$B39,MFETR!D:D)</f>
        <v>0</v>
      </c>
      <c r="H39" s="14">
        <f>+SUMIF(MFETR!$A:$A,$B39,MFETR!E:E)</f>
        <v>0</v>
      </c>
      <c r="I39" s="14">
        <f>+SUMIF(MFETR!$A:$A,$B39,MFETR!F:F)</f>
        <v>0</v>
      </c>
      <c r="J39" s="14">
        <f>+SUMIF(MFETR!$A:$A,$B39,MFETR!G:G)</f>
        <v>0</v>
      </c>
      <c r="K39" s="14">
        <f>+SUMIF(MFETR!$A:$A,$B39,MFETR!H:H)</f>
        <v>0</v>
      </c>
      <c r="L39" s="14">
        <f>+SUMIF(MFETR!$A:$A,$B39,MFETR!I:I)</f>
        <v>0</v>
      </c>
      <c r="M39" s="14">
        <f>+SUMIF(MFETR!$A:$A,$B39,MFETR!J:J)</f>
        <v>0</v>
      </c>
      <c r="N39" s="14">
        <f>+SUMIF(MFETR!$A:$A,$B39,MFETR!K:K)</f>
        <v>0</v>
      </c>
      <c r="O39" s="14">
        <f>+SUMIF(MFETR!$A:$A,$B39,MFETR!L:L)</f>
        <v>0</v>
      </c>
      <c r="P39" s="14">
        <f>+SUMIF(MFETR!$A:$A,$B39,MFETR!M:M)</f>
        <v>-226736783.9307709</v>
      </c>
      <c r="Q39" s="14">
        <f t="shared" si="0"/>
        <v>-226736783.9307709</v>
      </c>
      <c r="R39" s="14">
        <f t="shared" si="1"/>
        <v>0</v>
      </c>
      <c r="S39" s="14">
        <f t="shared" si="2"/>
        <v>226736783.9307709</v>
      </c>
      <c r="T39" s="14">
        <f t="shared" si="3"/>
        <v>226736783.9307709</v>
      </c>
      <c r="U39" s="14">
        <f t="shared" si="4"/>
        <v>0</v>
      </c>
      <c r="V39" s="1"/>
      <c r="W39" s="1"/>
      <c r="X39" s="1"/>
      <c r="Y39" s="15"/>
    </row>
    <row r="40" spans="1:25" x14ac:dyDescent="0.25">
      <c r="A40" s="11" t="s">
        <v>44</v>
      </c>
      <c r="B40" s="12" t="s">
        <v>44</v>
      </c>
      <c r="C40" s="13">
        <v>0</v>
      </c>
      <c r="D40" s="13"/>
      <c r="E40" s="14">
        <f>+SUMIF(MFETR!$A:$A,$B40,MFETR!B:B)</f>
        <v>0</v>
      </c>
      <c r="F40" s="14">
        <f>+SUMIF(MFETR!$A:$A,$B40,MFETR!C:C)</f>
        <v>0</v>
      </c>
      <c r="G40" s="14">
        <f>+SUMIF(MFETR!$A:$A,$B40,MFETR!D:D)</f>
        <v>0</v>
      </c>
      <c r="H40" s="14">
        <f>+SUMIF(MFETR!$A:$A,$B40,MFETR!E:E)</f>
        <v>0</v>
      </c>
      <c r="I40" s="14">
        <f>+SUMIF(MFETR!$A:$A,$B40,MFETR!F:F)</f>
        <v>0</v>
      </c>
      <c r="J40" s="14">
        <f>+SUMIF(MFETR!$A:$A,$B40,MFETR!G:G)</f>
        <v>0</v>
      </c>
      <c r="K40" s="14">
        <f>+SUMIF(MFETR!$A:$A,$B40,MFETR!H:H)</f>
        <v>0</v>
      </c>
      <c r="L40" s="14">
        <f>+SUMIF(MFETR!$A:$A,$B40,MFETR!I:I)</f>
        <v>0</v>
      </c>
      <c r="M40" s="14">
        <f>+SUMIF(MFETR!$A:$A,$B40,MFETR!J:J)</f>
        <v>0</v>
      </c>
      <c r="N40" s="14">
        <f>+SUMIF(MFETR!$A:$A,$B40,MFETR!K:K)</f>
        <v>0</v>
      </c>
      <c r="O40" s="14">
        <f>+SUMIF(MFETR!$A:$A,$B40,MFETR!L:L)</f>
        <v>-63790054.819829129</v>
      </c>
      <c r="P40" s="14">
        <f>+SUMIF(MFETR!$A:$A,$B40,MFETR!M:M)</f>
        <v>-2227333.3269353998</v>
      </c>
      <c r="Q40" s="14">
        <f t="shared" si="0"/>
        <v>-66017388.146764532</v>
      </c>
      <c r="R40" s="14">
        <f t="shared" si="1"/>
        <v>0</v>
      </c>
      <c r="S40" s="14">
        <f t="shared" si="2"/>
        <v>66017388.146764532</v>
      </c>
      <c r="T40" s="14">
        <f t="shared" si="3"/>
        <v>66017388.146764524</v>
      </c>
      <c r="U40" s="14">
        <f t="shared" si="4"/>
        <v>0</v>
      </c>
      <c r="V40" s="1"/>
      <c r="W40" s="1"/>
      <c r="X40" s="1"/>
      <c r="Y40" s="15"/>
    </row>
    <row r="41" spans="1:25" x14ac:dyDescent="0.25">
      <c r="B41" s="16" t="s">
        <v>45</v>
      </c>
      <c r="C41" s="17">
        <f>SUM(C7:C40)</f>
        <v>390880153.96691036</v>
      </c>
      <c r="D41" s="17">
        <f>+SUM(D7:D40)</f>
        <v>-9145845.6307118833</v>
      </c>
      <c r="E41" s="17">
        <f t="shared" ref="E41:U41" si="5">+SUM(E7:E40)</f>
        <v>3063387.419456529</v>
      </c>
      <c r="F41" s="17">
        <f t="shared" si="5"/>
        <v>3185770.3090779493</v>
      </c>
      <c r="G41" s="17">
        <f t="shared" si="5"/>
        <v>3008632.8077081013</v>
      </c>
      <c r="H41" s="17">
        <f t="shared" si="5"/>
        <v>6212136.6976565905</v>
      </c>
      <c r="I41" s="17">
        <f t="shared" si="5"/>
        <v>6122703.6773208017</v>
      </c>
      <c r="J41" s="17">
        <f t="shared" si="5"/>
        <v>10131250.440209104</v>
      </c>
      <c r="K41" s="17">
        <f t="shared" si="5"/>
        <v>13341473.850036277</v>
      </c>
      <c r="L41" s="17">
        <f t="shared" si="5"/>
        <v>18514877.378460214</v>
      </c>
      <c r="M41" s="17">
        <f t="shared" si="5"/>
        <v>25987491.871372692</v>
      </c>
      <c r="N41" s="17">
        <f t="shared" si="5"/>
        <v>23262416.836137224</v>
      </c>
      <c r="O41" s="17">
        <f t="shared" si="5"/>
        <v>931516551.43038952</v>
      </c>
      <c r="P41" s="17">
        <f t="shared" si="5"/>
        <v>-272081352.04361832</v>
      </c>
      <c r="Q41" s="17">
        <f t="shared" si="5"/>
        <v>1154976044.0772016</v>
      </c>
      <c r="R41" s="17">
        <f t="shared" si="5"/>
        <v>7786702168.7378044</v>
      </c>
      <c r="S41" s="17">
        <f>+SUM(S7:S40)</f>
        <v>6631726124.6606064</v>
      </c>
      <c r="T41" s="17">
        <f t="shared" si="5"/>
        <v>-1.0952353477478027E-6</v>
      </c>
      <c r="U41" s="17">
        <f t="shared" si="5"/>
        <v>1154976044.0771985</v>
      </c>
      <c r="V41" s="1"/>
      <c r="W41" s="1"/>
      <c r="X41" s="1"/>
      <c r="Y41" s="15"/>
    </row>
    <row r="42" spans="1:25" x14ac:dyDescent="0.25">
      <c r="T42" s="1"/>
    </row>
    <row r="43" spans="1:25" x14ac:dyDescent="0.25">
      <c r="C43" s="1"/>
      <c r="D43" s="1"/>
      <c r="H43" s="1"/>
      <c r="R43" s="18" t="s">
        <v>46</v>
      </c>
      <c r="S43" s="14">
        <f>+R41</f>
        <v>7786702168.7378044</v>
      </c>
      <c r="U43" s="1"/>
    </row>
    <row r="44" spans="1:25" x14ac:dyDescent="0.25">
      <c r="C44" s="1"/>
      <c r="D44" s="1"/>
      <c r="R44" s="18" t="s">
        <v>47</v>
      </c>
      <c r="S44" s="14">
        <f>+S41</f>
        <v>6631726124.6606064</v>
      </c>
      <c r="T44" s="1"/>
      <c r="U44" s="1"/>
    </row>
    <row r="45" spans="1:25" x14ac:dyDescent="0.25">
      <c r="R45" s="18" t="s">
        <v>48</v>
      </c>
      <c r="S45" s="14">
        <f>+IF(S44&lt;S43,S44,S43)</f>
        <v>6631726124.6606064</v>
      </c>
      <c r="U45" s="1"/>
    </row>
    <row r="46" spans="1:25" s="19" customFormat="1" x14ac:dyDescent="0.25">
      <c r="N46" s="20"/>
      <c r="V46"/>
      <c r="W46"/>
      <c r="X46"/>
      <c r="Y46" s="21"/>
    </row>
    <row r="47" spans="1:25" s="19" customFormat="1" x14ac:dyDescent="0.25">
      <c r="B47" s="22" t="s">
        <v>49</v>
      </c>
      <c r="L47" s="20"/>
      <c r="V47"/>
      <c r="W47"/>
      <c r="X47"/>
      <c r="Y47" s="21"/>
    </row>
    <row r="48" spans="1:25" s="19" customFormat="1" x14ac:dyDescent="0.25">
      <c r="B48" s="23">
        <f>+B3</f>
        <v>45597</v>
      </c>
      <c r="V48"/>
      <c r="W48"/>
      <c r="X48"/>
      <c r="Y48" s="21"/>
    </row>
    <row r="49" spans="2:25" s="19" customFormat="1" ht="3" customHeight="1" x14ac:dyDescent="0.25">
      <c r="V49"/>
      <c r="W49"/>
      <c r="X49"/>
      <c r="Y49" s="21"/>
    </row>
    <row r="50" spans="2:25" s="19" customFormat="1" x14ac:dyDescent="0.25">
      <c r="C50" s="24" t="s">
        <v>50</v>
      </c>
      <c r="D50" s="25"/>
      <c r="E50" s="25"/>
      <c r="F50" s="25"/>
      <c r="G50" s="25"/>
      <c r="H50" s="25"/>
      <c r="I50" s="25"/>
      <c r="J50" s="25"/>
      <c r="K50" s="25"/>
      <c r="L50" s="26"/>
      <c r="V50"/>
      <c r="W50"/>
      <c r="X50"/>
    </row>
    <row r="51" spans="2:25" s="32" customFormat="1" ht="29.25" customHeight="1" x14ac:dyDescent="0.25">
      <c r="B51" s="27" t="s">
        <v>51</v>
      </c>
      <c r="C51" s="28" t="s">
        <v>11</v>
      </c>
      <c r="D51" s="29" t="s">
        <v>13</v>
      </c>
      <c r="E51" s="29" t="s">
        <v>14</v>
      </c>
      <c r="F51" s="29" t="s">
        <v>24</v>
      </c>
      <c r="G51" s="29" t="s">
        <v>26</v>
      </c>
      <c r="H51" s="28" t="s">
        <v>27</v>
      </c>
      <c r="I51" s="28" t="s">
        <v>28</v>
      </c>
      <c r="J51" s="28" t="s">
        <v>42</v>
      </c>
      <c r="K51" s="30" t="s">
        <v>36</v>
      </c>
      <c r="L51" s="31" t="s">
        <v>52</v>
      </c>
      <c r="V51"/>
      <c r="W51"/>
      <c r="X51"/>
    </row>
    <row r="52" spans="2:25" s="19" customFormat="1" ht="12.75" x14ac:dyDescent="0.2">
      <c r="B52" s="33" t="s">
        <v>15</v>
      </c>
      <c r="C52" s="34">
        <f t="shared" ref="C52:K67" si="6">+$L52*C$70/$L$70</f>
        <v>59699959.548370592</v>
      </c>
      <c r="D52" s="34">
        <f t="shared" si="6"/>
        <v>48914311.919252463</v>
      </c>
      <c r="E52" s="34">
        <f t="shared" si="6"/>
        <v>8526925.0245198403</v>
      </c>
      <c r="F52" s="34">
        <f t="shared" si="6"/>
        <v>358267.33122855856</v>
      </c>
      <c r="G52" s="34">
        <f t="shared" si="6"/>
        <v>1546103.3200709145</v>
      </c>
      <c r="H52" s="34">
        <f t="shared" si="6"/>
        <v>279850.04362468183</v>
      </c>
      <c r="I52" s="34">
        <f t="shared" si="6"/>
        <v>1157242.1259139099</v>
      </c>
      <c r="J52" s="34">
        <f t="shared" si="6"/>
        <v>5180852.2437268589</v>
      </c>
      <c r="K52" s="34">
        <f t="shared" si="6"/>
        <v>266880.39732353541</v>
      </c>
      <c r="L52" s="35">
        <f t="shared" ref="L52:L69" si="7">SUMIF($A$7:$A$40,B52,$T$7:$T$40)</f>
        <v>125930391.95403133</v>
      </c>
      <c r="X52" s="21"/>
    </row>
    <row r="53" spans="2:25" s="19" customFormat="1" ht="12.75" x14ac:dyDescent="0.2">
      <c r="B53" s="33" t="s">
        <v>10</v>
      </c>
      <c r="C53" s="34">
        <f t="shared" si="6"/>
        <v>32070468.457300242</v>
      </c>
      <c r="D53" s="34">
        <f t="shared" si="6"/>
        <v>26276481.749471247</v>
      </c>
      <c r="E53" s="34">
        <f t="shared" si="6"/>
        <v>4580614.1596303871</v>
      </c>
      <c r="F53" s="34">
        <f t="shared" si="6"/>
        <v>192459.11106752534</v>
      </c>
      <c r="G53" s="34">
        <f t="shared" si="6"/>
        <v>830557.64414525067</v>
      </c>
      <c r="H53" s="34">
        <f t="shared" si="6"/>
        <v>150333.80365304471</v>
      </c>
      <c r="I53" s="34">
        <f t="shared" si="6"/>
        <v>621663.68917739193</v>
      </c>
      <c r="J53" s="34">
        <f t="shared" si="6"/>
        <v>2783123.4681114666</v>
      </c>
      <c r="K53" s="34">
        <f t="shared" si="6"/>
        <v>143366.58565574861</v>
      </c>
      <c r="L53" s="35">
        <f t="shared" si="7"/>
        <v>67649068.668212295</v>
      </c>
      <c r="X53" s="21"/>
    </row>
    <row r="54" spans="2:25" s="19" customFormat="1" ht="12.75" x14ac:dyDescent="0.2">
      <c r="B54" s="33" t="s">
        <v>16</v>
      </c>
      <c r="C54" s="34">
        <f t="shared" si="6"/>
        <v>372122748.43255591</v>
      </c>
      <c r="D54" s="34">
        <f t="shared" si="6"/>
        <v>304893476.08906966</v>
      </c>
      <c r="E54" s="34">
        <f t="shared" si="6"/>
        <v>53150166.261532508</v>
      </c>
      <c r="F54" s="34">
        <f t="shared" si="6"/>
        <v>2233157.6935550338</v>
      </c>
      <c r="G54" s="34">
        <f t="shared" si="6"/>
        <v>9637196.0915539898</v>
      </c>
      <c r="H54" s="34">
        <f t="shared" si="6"/>
        <v>1744365.7947240532</v>
      </c>
      <c r="I54" s="34">
        <f t="shared" si="6"/>
        <v>7213340.2393364199</v>
      </c>
      <c r="J54" s="34">
        <f t="shared" si="6"/>
        <v>32293371.565797511</v>
      </c>
      <c r="K54" s="34">
        <f t="shared" si="6"/>
        <v>1663523.1867174206</v>
      </c>
      <c r="L54" s="35">
        <f t="shared" si="7"/>
        <v>784951345.35484242</v>
      </c>
      <c r="X54" s="21"/>
    </row>
    <row r="55" spans="2:25" s="19" customFormat="1" ht="12.75" x14ac:dyDescent="0.2">
      <c r="B55" s="33" t="s">
        <v>18</v>
      </c>
      <c r="C55" s="34">
        <f t="shared" si="6"/>
        <v>200837505.74929214</v>
      </c>
      <c r="D55" s="34">
        <f t="shared" si="6"/>
        <v>164553351.05120119</v>
      </c>
      <c r="E55" s="34">
        <f t="shared" si="6"/>
        <v>28685552.998545159</v>
      </c>
      <c r="F55" s="34">
        <f t="shared" si="6"/>
        <v>1205252.3609685267</v>
      </c>
      <c r="G55" s="34">
        <f t="shared" si="6"/>
        <v>5201268.7576807057</v>
      </c>
      <c r="H55" s="34">
        <f t="shared" si="6"/>
        <v>941447.61856787058</v>
      </c>
      <c r="I55" s="34">
        <f t="shared" si="6"/>
        <v>3893095.1356549351</v>
      </c>
      <c r="J55" s="34">
        <f t="shared" si="6"/>
        <v>17428980.6920669</v>
      </c>
      <c r="K55" s="34">
        <f t="shared" si="6"/>
        <v>897816.24204302893</v>
      </c>
      <c r="L55" s="35">
        <f t="shared" si="7"/>
        <v>423644270.60602039</v>
      </c>
      <c r="X55" s="21"/>
    </row>
    <row r="56" spans="2:25" s="19" customFormat="1" ht="12.75" x14ac:dyDescent="0.2">
      <c r="B56" s="33" t="s">
        <v>19</v>
      </c>
      <c r="C56" s="34">
        <f t="shared" si="6"/>
        <v>0</v>
      </c>
      <c r="D56" s="34">
        <f t="shared" si="6"/>
        <v>0</v>
      </c>
      <c r="E56" s="34">
        <f t="shared" si="6"/>
        <v>0</v>
      </c>
      <c r="F56" s="34">
        <f t="shared" si="6"/>
        <v>0</v>
      </c>
      <c r="G56" s="34">
        <f t="shared" si="6"/>
        <v>0</v>
      </c>
      <c r="H56" s="34">
        <f t="shared" si="6"/>
        <v>0</v>
      </c>
      <c r="I56" s="34">
        <f t="shared" si="6"/>
        <v>0</v>
      </c>
      <c r="J56" s="34">
        <f t="shared" si="6"/>
        <v>0</v>
      </c>
      <c r="K56" s="34">
        <f t="shared" si="6"/>
        <v>0</v>
      </c>
      <c r="L56" s="35">
        <f t="shared" si="7"/>
        <v>0</v>
      </c>
      <c r="X56" s="21"/>
    </row>
    <row r="57" spans="2:25" s="19" customFormat="1" ht="12.75" x14ac:dyDescent="0.2">
      <c r="B57" s="33" t="s">
        <v>20</v>
      </c>
      <c r="C57" s="34">
        <f t="shared" si="6"/>
        <v>169710546.60190958</v>
      </c>
      <c r="D57" s="34">
        <f t="shared" si="6"/>
        <v>139049920.22225258</v>
      </c>
      <c r="E57" s="34">
        <f t="shared" si="6"/>
        <v>24239699.954440918</v>
      </c>
      <c r="F57" s="34">
        <f t="shared" si="6"/>
        <v>1018455.3737116484</v>
      </c>
      <c r="G57" s="34">
        <f t="shared" si="6"/>
        <v>4395146.0191470683</v>
      </c>
      <c r="H57" s="34">
        <f t="shared" si="6"/>
        <v>795536.6172674275</v>
      </c>
      <c r="I57" s="34">
        <f t="shared" si="6"/>
        <v>3289720.7171552572</v>
      </c>
      <c r="J57" s="34">
        <f t="shared" si="6"/>
        <v>14727736.380360954</v>
      </c>
      <c r="K57" s="34">
        <f t="shared" si="6"/>
        <v>758667.48402760329</v>
      </c>
      <c r="L57" s="35">
        <f t="shared" si="7"/>
        <v>357985429.37027299</v>
      </c>
      <c r="X57" s="21"/>
    </row>
    <row r="58" spans="2:25" s="19" customFormat="1" ht="12.75" x14ac:dyDescent="0.2">
      <c r="B58" s="33" t="s">
        <v>22</v>
      </c>
      <c r="C58" s="34">
        <f t="shared" si="6"/>
        <v>196688394.7063548</v>
      </c>
      <c r="D58" s="34">
        <f t="shared" si="6"/>
        <v>161153835.98825684</v>
      </c>
      <c r="E58" s="34">
        <f t="shared" si="6"/>
        <v>28092936.872015469</v>
      </c>
      <c r="F58" s="34">
        <f t="shared" si="6"/>
        <v>1180352.9983631009</v>
      </c>
      <c r="G58" s="34">
        <f t="shared" si="6"/>
        <v>5093815.5130326794</v>
      </c>
      <c r="H58" s="34">
        <f t="shared" si="6"/>
        <v>921998.20997272909</v>
      </c>
      <c r="I58" s="34">
        <f t="shared" si="6"/>
        <v>3812667.5085626356</v>
      </c>
      <c r="J58" s="34">
        <f t="shared" si="6"/>
        <v>17068914.597903851</v>
      </c>
      <c r="K58" s="34">
        <f t="shared" si="6"/>
        <v>879268.21601327229</v>
      </c>
      <c r="L58" s="35">
        <f t="shared" si="7"/>
        <v>414892184.6104753</v>
      </c>
      <c r="X58" s="21"/>
    </row>
    <row r="59" spans="2:25" s="19" customFormat="1" ht="12.75" x14ac:dyDescent="0.2">
      <c r="B59" s="33" t="s">
        <v>23</v>
      </c>
      <c r="C59" s="34">
        <f t="shared" si="6"/>
        <v>6109275.1236337582</v>
      </c>
      <c r="D59" s="34">
        <f t="shared" si="6"/>
        <v>5005547.5959884031</v>
      </c>
      <c r="E59" s="34">
        <f t="shared" si="6"/>
        <v>872585.69901009323</v>
      </c>
      <c r="F59" s="34">
        <f t="shared" si="6"/>
        <v>36662.565784686987</v>
      </c>
      <c r="G59" s="34">
        <f t="shared" si="6"/>
        <v>158217.36938068998</v>
      </c>
      <c r="H59" s="34">
        <f t="shared" si="6"/>
        <v>28637.890591514708</v>
      </c>
      <c r="I59" s="34">
        <f t="shared" si="6"/>
        <v>118424.04224978838</v>
      </c>
      <c r="J59" s="34">
        <f t="shared" si="6"/>
        <v>530172.08003596566</v>
      </c>
      <c r="K59" s="34">
        <f t="shared" si="6"/>
        <v>27310.667958378355</v>
      </c>
      <c r="L59" s="35">
        <f t="shared" si="7"/>
        <v>12886833.034633277</v>
      </c>
      <c r="X59" s="21"/>
    </row>
    <row r="60" spans="2:25" s="19" customFormat="1" ht="12.75" x14ac:dyDescent="0.2">
      <c r="B60" s="33" t="s">
        <v>25</v>
      </c>
      <c r="C60" s="34">
        <f t="shared" si="6"/>
        <v>338269736.74945462</v>
      </c>
      <c r="D60" s="34">
        <f t="shared" si="6"/>
        <v>277156492.92525929</v>
      </c>
      <c r="E60" s="34">
        <f t="shared" si="6"/>
        <v>48314952.056033485</v>
      </c>
      <c r="F60" s="34">
        <f t="shared" si="6"/>
        <v>2030001.305485338</v>
      </c>
      <c r="G60" s="34">
        <f t="shared" si="6"/>
        <v>8760474.3290336169</v>
      </c>
      <c r="H60" s="34">
        <f t="shared" si="6"/>
        <v>1585676.1261210642</v>
      </c>
      <c r="I60" s="34">
        <f t="shared" si="6"/>
        <v>6557123.1915342519</v>
      </c>
      <c r="J60" s="34">
        <f t="shared" si="6"/>
        <v>29355556.316639714</v>
      </c>
      <c r="K60" s="34">
        <f t="shared" si="6"/>
        <v>1512187.9885542763</v>
      </c>
      <c r="L60" s="35">
        <f t="shared" si="7"/>
        <v>713542200.98811555</v>
      </c>
      <c r="X60" s="21"/>
    </row>
    <row r="61" spans="2:25" s="19" customFormat="1" ht="12.75" x14ac:dyDescent="0.2">
      <c r="B61" s="33" t="s">
        <v>34</v>
      </c>
      <c r="C61" s="34">
        <f t="shared" si="6"/>
        <v>85614870.565740511</v>
      </c>
      <c r="D61" s="34">
        <f t="shared" si="6"/>
        <v>70147325.315790042</v>
      </c>
      <c r="E61" s="34">
        <f t="shared" si="6"/>
        <v>12228342.997561794</v>
      </c>
      <c r="F61" s="34">
        <f t="shared" si="6"/>
        <v>513786.13022700936</v>
      </c>
      <c r="G61" s="34">
        <f t="shared" si="6"/>
        <v>2217244.980239619</v>
      </c>
      <c r="H61" s="34">
        <f t="shared" si="6"/>
        <v>401329.00330244697</v>
      </c>
      <c r="I61" s="34">
        <f t="shared" si="6"/>
        <v>1659584.6223826446</v>
      </c>
      <c r="J61" s="34">
        <f t="shared" si="6"/>
        <v>7429787.1828123778</v>
      </c>
      <c r="K61" s="34">
        <f t="shared" si="6"/>
        <v>382729.41633863316</v>
      </c>
      <c r="L61" s="35">
        <f t="shared" si="7"/>
        <v>180595000.21439505</v>
      </c>
      <c r="X61" s="21"/>
    </row>
    <row r="62" spans="2:25" s="19" customFormat="1" ht="12.75" x14ac:dyDescent="0.2">
      <c r="B62" s="33" t="s">
        <v>35</v>
      </c>
      <c r="C62" s="34">
        <f t="shared" si="6"/>
        <v>806594059.53622127</v>
      </c>
      <c r="D62" s="34">
        <f t="shared" si="6"/>
        <v>660871359.35836077</v>
      </c>
      <c r="E62" s="34">
        <f t="shared" si="6"/>
        <v>115205556.63552654</v>
      </c>
      <c r="F62" s="34">
        <f t="shared" si="6"/>
        <v>4840477.3350091521</v>
      </c>
      <c r="G62" s="34">
        <f t="shared" si="6"/>
        <v>20889088.750353523</v>
      </c>
      <c r="H62" s="34">
        <f t="shared" si="6"/>
        <v>3780997.2478412096</v>
      </c>
      <c r="I62" s="34">
        <f t="shared" si="6"/>
        <v>15635263.930973699</v>
      </c>
      <c r="J62" s="34">
        <f t="shared" si="6"/>
        <v>69997445.136276335</v>
      </c>
      <c r="K62" s="34">
        <f t="shared" si="6"/>
        <v>3605766.9840365145</v>
      </c>
      <c r="L62" s="35">
        <f t="shared" si="7"/>
        <v>1701420014.9145987</v>
      </c>
      <c r="X62" s="21"/>
    </row>
    <row r="63" spans="2:25" s="19" customFormat="1" ht="12.75" x14ac:dyDescent="0.2">
      <c r="B63" s="33" t="s">
        <v>39</v>
      </c>
      <c r="C63" s="34">
        <f t="shared" si="6"/>
        <v>168927002.47014523</v>
      </c>
      <c r="D63" s="34">
        <f t="shared" si="6"/>
        <v>138407934.49305674</v>
      </c>
      <c r="E63" s="34">
        <f t="shared" si="6"/>
        <v>24127786.611190766</v>
      </c>
      <c r="F63" s="34">
        <f t="shared" si="6"/>
        <v>1013753.2220333115</v>
      </c>
      <c r="G63" s="34">
        <f t="shared" si="6"/>
        <v>4374853.8750198781</v>
      </c>
      <c r="H63" s="34">
        <f t="shared" si="6"/>
        <v>791863.66905917192</v>
      </c>
      <c r="I63" s="34">
        <f t="shared" si="6"/>
        <v>3274532.2600164255</v>
      </c>
      <c r="J63" s="34">
        <f t="shared" si="6"/>
        <v>14659739.242610443</v>
      </c>
      <c r="K63" s="34">
        <f t="shared" si="6"/>
        <v>755164.75855194579</v>
      </c>
      <c r="L63" s="35">
        <f t="shared" si="7"/>
        <v>356332630.60168386</v>
      </c>
      <c r="X63" s="21"/>
    </row>
    <row r="64" spans="2:25" s="19" customFormat="1" ht="12.75" x14ac:dyDescent="0.2">
      <c r="B64" s="33" t="s">
        <v>38</v>
      </c>
      <c r="C64" s="34">
        <f t="shared" si="6"/>
        <v>135816462.90622979</v>
      </c>
      <c r="D64" s="34">
        <f t="shared" si="6"/>
        <v>111279285.28967026</v>
      </c>
      <c r="E64" s="34">
        <f t="shared" si="6"/>
        <v>19398619.447280843</v>
      </c>
      <c r="F64" s="34">
        <f t="shared" si="6"/>
        <v>815052.50707737729</v>
      </c>
      <c r="G64" s="34">
        <f t="shared" si="6"/>
        <v>3517360.5779326074</v>
      </c>
      <c r="H64" s="34">
        <f t="shared" si="6"/>
        <v>636654.41914517619</v>
      </c>
      <c r="I64" s="34">
        <f t="shared" si="6"/>
        <v>2632707.5170020415</v>
      </c>
      <c r="J64" s="34">
        <f t="shared" si="6"/>
        <v>11786356.840203103</v>
      </c>
      <c r="K64" s="34">
        <f t="shared" si="6"/>
        <v>607148.67912303482</v>
      </c>
      <c r="L64" s="35">
        <f t="shared" si="7"/>
        <v>286489648.1836642</v>
      </c>
      <c r="X64" s="21"/>
    </row>
    <row r="65" spans="2:25" s="19" customFormat="1" ht="12.75" x14ac:dyDescent="0.2">
      <c r="B65" s="33" t="s">
        <v>40</v>
      </c>
      <c r="C65" s="34">
        <f t="shared" si="6"/>
        <v>132832356.11936498</v>
      </c>
      <c r="D65" s="34">
        <f t="shared" si="6"/>
        <v>108834299.87800014</v>
      </c>
      <c r="E65" s="34">
        <f t="shared" si="6"/>
        <v>18972400.484500133</v>
      </c>
      <c r="F65" s="34">
        <f t="shared" si="6"/>
        <v>797144.4886680037</v>
      </c>
      <c r="G65" s="34">
        <f t="shared" si="6"/>
        <v>3440078.4918889874</v>
      </c>
      <c r="H65" s="34">
        <f t="shared" si="6"/>
        <v>622666.09451644332</v>
      </c>
      <c r="I65" s="34">
        <f t="shared" si="6"/>
        <v>2574862.6858143825</v>
      </c>
      <c r="J65" s="34">
        <f t="shared" si="6"/>
        <v>11527391.566872844</v>
      </c>
      <c r="K65" s="34">
        <f t="shared" si="6"/>
        <v>593808.64320074802</v>
      </c>
      <c r="L65" s="35">
        <f t="shared" si="7"/>
        <v>280195008.45282662</v>
      </c>
      <c r="X65" s="21"/>
    </row>
    <row r="66" spans="2:25" s="19" customFormat="1" ht="12.75" x14ac:dyDescent="0.2">
      <c r="B66" s="33" t="s">
        <v>43</v>
      </c>
      <c r="C66" s="34">
        <f t="shared" si="6"/>
        <v>107489356.768903</v>
      </c>
      <c r="D66" s="34">
        <f t="shared" si="6"/>
        <v>88069874.16354847</v>
      </c>
      <c r="E66" s="34">
        <f t="shared" si="6"/>
        <v>15352668.461352682</v>
      </c>
      <c r="F66" s="34">
        <f t="shared" si="6"/>
        <v>645057.80701354495</v>
      </c>
      <c r="G66" s="34">
        <f t="shared" si="6"/>
        <v>2783748.1403657636</v>
      </c>
      <c r="H66" s="34">
        <f t="shared" si="6"/>
        <v>503868.03288525017</v>
      </c>
      <c r="I66" s="34">
        <f t="shared" si="6"/>
        <v>2083606.2985868317</v>
      </c>
      <c r="J66" s="34">
        <f t="shared" si="6"/>
        <v>9328087.9820650946</v>
      </c>
      <c r="K66" s="34">
        <f t="shared" si="6"/>
        <v>480516.27605029161</v>
      </c>
      <c r="L66" s="35">
        <f t="shared" si="7"/>
        <v>226736783.9307709</v>
      </c>
      <c r="X66" s="21"/>
    </row>
    <row r="67" spans="2:25" s="19" customFormat="1" ht="12.75" x14ac:dyDescent="0.2">
      <c r="B67" s="33" t="s">
        <v>21</v>
      </c>
      <c r="C67" s="34">
        <f t="shared" si="6"/>
        <v>298867157.39660174</v>
      </c>
      <c r="D67" s="34">
        <f t="shared" si="6"/>
        <v>244872550.49935281</v>
      </c>
      <c r="E67" s="34">
        <f t="shared" si="6"/>
        <v>42687094.977801338</v>
      </c>
      <c r="F67" s="34">
        <f t="shared" si="6"/>
        <v>1793541.2298829351</v>
      </c>
      <c r="G67" s="34">
        <f t="shared" si="6"/>
        <v>7740030.442343141</v>
      </c>
      <c r="H67" s="34">
        <f t="shared" si="6"/>
        <v>1400972.2563992327</v>
      </c>
      <c r="I67" s="34">
        <f t="shared" si="6"/>
        <v>5793331.6405560318</v>
      </c>
      <c r="J67" s="34">
        <f t="shared" si="6"/>
        <v>25936141.241769284</v>
      </c>
      <c r="K67" s="34">
        <f t="shared" si="6"/>
        <v>1336044.2170540404</v>
      </c>
      <c r="L67" s="35">
        <f t="shared" si="7"/>
        <v>630426863.90176046</v>
      </c>
      <c r="X67" s="21"/>
    </row>
    <row r="68" spans="2:25" s="19" customFormat="1" ht="12.75" x14ac:dyDescent="0.2">
      <c r="B68" s="33" t="s">
        <v>41</v>
      </c>
      <c r="C68" s="34">
        <f t="shared" ref="C68:K76" si="8">+$L68*C$70/$L$70</f>
        <v>962867.66913685575</v>
      </c>
      <c r="D68" s="34">
        <f t="shared" si="8"/>
        <v>788911.91654767538</v>
      </c>
      <c r="E68" s="34">
        <f t="shared" si="8"/>
        <v>137526.06342407866</v>
      </c>
      <c r="F68" s="34">
        <f t="shared" si="8"/>
        <v>5778.295877544514</v>
      </c>
      <c r="G68" s="34">
        <f t="shared" si="8"/>
        <v>24936.246377776093</v>
      </c>
      <c r="H68" s="34">
        <f t="shared" si="8"/>
        <v>4513.5467637029451</v>
      </c>
      <c r="I68" s="34">
        <f t="shared" si="8"/>
        <v>18664.518985191142</v>
      </c>
      <c r="J68" s="34">
        <f t="shared" si="8"/>
        <v>83559.103922305439</v>
      </c>
      <c r="K68" s="34">
        <f t="shared" si="8"/>
        <v>4304.3665029793829</v>
      </c>
      <c r="L68" s="35">
        <f t="shared" si="7"/>
        <v>2031061.7275381091</v>
      </c>
      <c r="X68" s="21"/>
    </row>
    <row r="69" spans="2:25" s="19" customFormat="1" ht="12.75" x14ac:dyDescent="0.2">
      <c r="B69" s="33" t="s">
        <v>44</v>
      </c>
      <c r="C69" s="34">
        <f t="shared" si="8"/>
        <v>31296935.876206916</v>
      </c>
      <c r="D69" s="34">
        <f t="shared" si="8"/>
        <v>25642698.841785237</v>
      </c>
      <c r="E69" s="34">
        <f t="shared" si="8"/>
        <v>4470130.7627754537</v>
      </c>
      <c r="F69" s="34">
        <f t="shared" si="8"/>
        <v>187817.04002521408</v>
      </c>
      <c r="G69" s="34">
        <f t="shared" si="8"/>
        <v>810524.77811219392</v>
      </c>
      <c r="H69" s="34">
        <f t="shared" si="8"/>
        <v>146707.78567578483</v>
      </c>
      <c r="I69" s="34">
        <f t="shared" si="8"/>
        <v>606669.29897378001</v>
      </c>
      <c r="J69" s="34">
        <f t="shared" si="8"/>
        <v>2715995.1477797558</v>
      </c>
      <c r="K69" s="34">
        <f t="shared" si="8"/>
        <v>139908.61543019724</v>
      </c>
      <c r="L69" s="35">
        <f t="shared" si="7"/>
        <v>66017388.146764524</v>
      </c>
      <c r="X69" s="21"/>
    </row>
    <row r="70" spans="2:25" s="19" customFormat="1" ht="12.75" x14ac:dyDescent="0.2">
      <c r="B70" s="36" t="s">
        <v>52</v>
      </c>
      <c r="C70" s="37">
        <f t="shared" ref="C70:K70" si="9">-SUMIF($A$7:$A$40,C51,$T$7:$T$40)</f>
        <v>3143909704.677422</v>
      </c>
      <c r="D70" s="37">
        <f t="shared" si="9"/>
        <v>2575917657.296864</v>
      </c>
      <c r="E70" s="37">
        <f t="shared" si="9"/>
        <v>449043559.46714151</v>
      </c>
      <c r="F70" s="37">
        <f t="shared" si="9"/>
        <v>18867016.795978513</v>
      </c>
      <c r="G70" s="37">
        <f t="shared" si="9"/>
        <v>81420645.32667841</v>
      </c>
      <c r="H70" s="37">
        <f t="shared" si="9"/>
        <v>14737418.160110805</v>
      </c>
      <c r="I70" s="37">
        <f t="shared" si="9"/>
        <v>60942499.42287562</v>
      </c>
      <c r="J70" s="37">
        <f t="shared" si="9"/>
        <v>272833210.78895479</v>
      </c>
      <c r="K70" s="37">
        <f t="shared" si="9"/>
        <v>14054412.72458165</v>
      </c>
      <c r="L70" s="37">
        <f>SUM(L52:L69)</f>
        <v>6631726124.6606064</v>
      </c>
      <c r="M70" s="38">
        <f>+L70-SUM(C52:K69)</f>
        <v>0</v>
      </c>
      <c r="X70" s="21"/>
    </row>
    <row r="71" spans="2:25" s="19" customFormat="1" ht="12.75" x14ac:dyDescent="0.2">
      <c r="Y71" s="21"/>
    </row>
    <row r="72" spans="2:25" s="19" customFormat="1" ht="12.75" x14ac:dyDescent="0.2">
      <c r="Y72" s="21"/>
    </row>
    <row r="73" spans="2:25" x14ac:dyDescent="0.25">
      <c r="M73" s="1"/>
    </row>
  </sheetData>
  <mergeCells count="1">
    <mergeCell ref="C50:L50"/>
  </mergeCells>
  <pageMargins left="0.7" right="0.7" top="0.75" bottom="0.75" header="0.3" footer="0.3"/>
  <pageSetup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8215-C3BD-4DFD-9F64-4DAD8CF658FC}">
  <sheetPr codeName="Hoja2"/>
  <dimension ref="A1:U34"/>
  <sheetViews>
    <sheetView zoomScale="85" zoomScaleNormal="85" workbookViewId="0"/>
  </sheetViews>
  <sheetFormatPr baseColWidth="10" defaultRowHeight="15" x14ac:dyDescent="0.25"/>
  <cols>
    <col min="1" max="1" width="20.7109375" bestFit="1" customWidth="1"/>
    <col min="2" max="10" width="12.42578125" bestFit="1" customWidth="1"/>
    <col min="11" max="11" width="13.5703125" bestFit="1" customWidth="1"/>
    <col min="12" max="12" width="16.42578125" customWidth="1"/>
    <col min="13" max="13" width="13.28515625" bestFit="1" customWidth="1"/>
    <col min="14" max="18" width="5.5703125" customWidth="1"/>
    <col min="24" max="24" width="88.140625" customWidth="1"/>
  </cols>
  <sheetData>
    <row r="1" spans="1:21" x14ac:dyDescent="0.25">
      <c r="A1" s="39" t="s">
        <v>53</v>
      </c>
      <c r="B1" s="40">
        <v>45261</v>
      </c>
      <c r="C1" s="40">
        <v>45292</v>
      </c>
      <c r="D1" s="40">
        <v>45323</v>
      </c>
      <c r="E1" s="40">
        <v>45352</v>
      </c>
      <c r="F1" s="40">
        <v>45383</v>
      </c>
      <c r="G1" s="40">
        <v>45413</v>
      </c>
      <c r="H1" s="40">
        <v>45444</v>
      </c>
      <c r="I1" s="40">
        <v>45474</v>
      </c>
      <c r="J1" s="40">
        <v>45505</v>
      </c>
      <c r="K1" s="40">
        <v>45536</v>
      </c>
      <c r="L1" s="40">
        <v>45566</v>
      </c>
      <c r="M1" s="40">
        <v>45597</v>
      </c>
    </row>
    <row r="2" spans="1:21" x14ac:dyDescent="0.25">
      <c r="A2" s="39" t="s">
        <v>10</v>
      </c>
      <c r="L2" s="41">
        <v>-67649068.668212295</v>
      </c>
      <c r="U2" s="42"/>
    </row>
    <row r="3" spans="1:21" x14ac:dyDescent="0.25">
      <c r="A3" s="39" t="s">
        <v>12</v>
      </c>
      <c r="B3">
        <v>744207.87279996998</v>
      </c>
      <c r="C3">
        <v>811424.47621723684</v>
      </c>
      <c r="D3">
        <v>811890.81099756772</v>
      </c>
      <c r="E3">
        <v>1073121.8552257861</v>
      </c>
      <c r="F3">
        <v>1301941.658368937</v>
      </c>
      <c r="G3">
        <v>2009314.0418010431</v>
      </c>
      <c r="H3">
        <v>2794597.3469320629</v>
      </c>
      <c r="I3">
        <v>4341015.1947490796</v>
      </c>
      <c r="J3">
        <v>8137384.0911557609</v>
      </c>
      <c r="K3">
        <v>153973538.56471801</v>
      </c>
      <c r="L3">
        <v>1823303887.0975411</v>
      </c>
      <c r="M3">
        <v>487377494.18288583</v>
      </c>
      <c r="T3" s="44"/>
      <c r="U3" s="44"/>
    </row>
    <row r="4" spans="1:21" x14ac:dyDescent="0.25">
      <c r="A4" s="39" t="s">
        <v>14</v>
      </c>
      <c r="B4" s="41">
        <v>-24962.937400537659</v>
      </c>
      <c r="C4">
        <v>142395.62704684841</v>
      </c>
      <c r="D4">
        <v>226250.91872040209</v>
      </c>
      <c r="E4">
        <v>298384.3486924289</v>
      </c>
      <c r="F4">
        <v>278182.3747876698</v>
      </c>
      <c r="G4">
        <v>46937.253059756913</v>
      </c>
      <c r="H4">
        <v>475778.193253732</v>
      </c>
      <c r="I4">
        <v>218823.3930447929</v>
      </c>
      <c r="J4">
        <v>301722.27238558629</v>
      </c>
      <c r="K4">
        <v>13965265.688813221</v>
      </c>
      <c r="L4">
        <v>402932204.22539032</v>
      </c>
      <c r="M4">
        <v>77136048.181754857</v>
      </c>
      <c r="S4" s="42"/>
    </row>
    <row r="5" spans="1:21" x14ac:dyDescent="0.25">
      <c r="A5" s="39" t="s">
        <v>15</v>
      </c>
      <c r="L5" s="41">
        <v>-43162101.564766482</v>
      </c>
      <c r="M5" s="41">
        <v>-82768290.389264837</v>
      </c>
    </row>
    <row r="6" spans="1:21" x14ac:dyDescent="0.25">
      <c r="A6" s="39" t="s">
        <v>16</v>
      </c>
      <c r="L6" s="41">
        <v>-784951345.35484242</v>
      </c>
    </row>
    <row r="7" spans="1:21" x14ac:dyDescent="0.25">
      <c r="A7" s="39" t="s">
        <v>17</v>
      </c>
      <c r="B7">
        <v>108323.9371166627</v>
      </c>
      <c r="C7">
        <v>15460.248561535869</v>
      </c>
      <c r="D7">
        <v>27441.321475631699</v>
      </c>
      <c r="E7">
        <v>68440.931420769892</v>
      </c>
      <c r="F7">
        <v>58377.802632493112</v>
      </c>
      <c r="G7">
        <v>76754.240590635934</v>
      </c>
      <c r="H7">
        <v>58151.218377323152</v>
      </c>
      <c r="I7">
        <v>125779.12976034349</v>
      </c>
      <c r="J7">
        <v>407326.86402150983</v>
      </c>
      <c r="K7">
        <v>18791644.52546265</v>
      </c>
      <c r="L7">
        <v>281055520.04254448</v>
      </c>
      <c r="M7">
        <v>111332561.1389644</v>
      </c>
    </row>
    <row r="8" spans="1:21" x14ac:dyDescent="0.25">
      <c r="A8" s="39" t="s">
        <v>18</v>
      </c>
      <c r="L8" s="41">
        <v>-423644270.60602039</v>
      </c>
    </row>
    <row r="9" spans="1:21" x14ac:dyDescent="0.25">
      <c r="A9" s="39" t="s">
        <v>20</v>
      </c>
      <c r="M9" s="41">
        <v>-357985429.37027299</v>
      </c>
    </row>
    <row r="10" spans="1:21" x14ac:dyDescent="0.25">
      <c r="A10" s="39" t="s">
        <v>21</v>
      </c>
      <c r="K10" s="41">
        <v>-110484252.78290071</v>
      </c>
      <c r="L10" s="41">
        <v>-548872830.9218086</v>
      </c>
      <c r="M10">
        <v>28930219.80294878</v>
      </c>
    </row>
    <row r="11" spans="1:21" x14ac:dyDescent="0.25">
      <c r="A11" s="39" t="s">
        <v>22</v>
      </c>
      <c r="L11" s="41">
        <v>-198875357.28433779</v>
      </c>
      <c r="M11" s="41">
        <v>-216016827.32613751</v>
      </c>
    </row>
    <row r="12" spans="1:21" x14ac:dyDescent="0.25">
      <c r="A12" s="39" t="s">
        <v>23</v>
      </c>
      <c r="L12" s="41">
        <v>-464860.93002562952</v>
      </c>
      <c r="M12" s="41">
        <v>-3252733.3484666999</v>
      </c>
    </row>
    <row r="13" spans="1:21" x14ac:dyDescent="0.25">
      <c r="A13" s="39" t="s">
        <v>24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41">
        <v>-90650.951368722395</v>
      </c>
      <c r="L13">
        <v>14086379.932915511</v>
      </c>
      <c r="M13">
        <v>6956258.2065143446</v>
      </c>
    </row>
    <row r="14" spans="1:21" x14ac:dyDescent="0.25">
      <c r="A14" s="39" t="s">
        <v>25</v>
      </c>
      <c r="B14">
        <v>3898.1582666791078</v>
      </c>
      <c r="C14">
        <v>4795.3107483806216</v>
      </c>
      <c r="D14" s="41">
        <v>-754.7973512896483</v>
      </c>
      <c r="E14" s="41">
        <v>-3337.4793925097929</v>
      </c>
      <c r="F14">
        <v>2516.914816861326</v>
      </c>
      <c r="G14">
        <v>15654.559401795541</v>
      </c>
      <c r="H14">
        <v>47274.119173467487</v>
      </c>
      <c r="I14">
        <v>103393.7050472321</v>
      </c>
      <c r="J14" s="41">
        <v>-1815986.9513214759</v>
      </c>
      <c r="K14" s="41">
        <v>-56889773.137589946</v>
      </c>
      <c r="L14" s="41">
        <v>-503684296.82788217</v>
      </c>
      <c r="M14" s="41">
        <v>-151325584.56203261</v>
      </c>
    </row>
    <row r="15" spans="1:21" x14ac:dyDescent="0.25">
      <c r="A15" s="39" t="s">
        <v>26</v>
      </c>
      <c r="B15" s="41">
        <v>-1583.863585590572</v>
      </c>
      <c r="C15">
        <v>0</v>
      </c>
      <c r="D15">
        <v>0</v>
      </c>
      <c r="E15">
        <v>0</v>
      </c>
      <c r="F15">
        <v>0</v>
      </c>
      <c r="G15">
        <v>0</v>
      </c>
      <c r="H15">
        <v>1115.8369198191219</v>
      </c>
      <c r="I15" s="41">
        <v>-9970.8766126094233</v>
      </c>
      <c r="J15" s="41">
        <v>-2304.1352980865422</v>
      </c>
      <c r="K15">
        <v>1270911.3548126901</v>
      </c>
      <c r="L15">
        <v>40250679.9114272</v>
      </c>
      <c r="M15">
        <v>49380983.982717231</v>
      </c>
    </row>
    <row r="16" spans="1:21" x14ac:dyDescent="0.25">
      <c r="A16" s="39" t="s">
        <v>27</v>
      </c>
      <c r="F16">
        <v>0</v>
      </c>
      <c r="G16">
        <v>0</v>
      </c>
      <c r="H16">
        <v>0</v>
      </c>
      <c r="I16">
        <v>0</v>
      </c>
      <c r="J16">
        <v>49057.365690316074</v>
      </c>
      <c r="K16">
        <v>118928.4276481674</v>
      </c>
      <c r="L16">
        <v>11362777.1390994</v>
      </c>
      <c r="M16">
        <v>4776691.1059421366</v>
      </c>
    </row>
    <row r="17" spans="1:13" x14ac:dyDescent="0.25">
      <c r="A17" s="39" t="s">
        <v>28</v>
      </c>
      <c r="I17" s="41">
        <v>-749.08806823462146</v>
      </c>
      <c r="J17" s="41">
        <v>-1324.000612355668</v>
      </c>
      <c r="K17" s="41">
        <v>-3179.88116840876</v>
      </c>
      <c r="L17">
        <v>16094509.812505711</v>
      </c>
      <c r="M17">
        <v>51597005.801294588</v>
      </c>
    </row>
    <row r="18" spans="1:13" x14ac:dyDescent="0.25">
      <c r="A18" s="39" t="s">
        <v>29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4367.6792761892584</v>
      </c>
      <c r="K18">
        <v>327629.11784593947</v>
      </c>
      <c r="L18">
        <v>3186384.176435384</v>
      </c>
      <c r="M18">
        <v>1027485.070683332</v>
      </c>
    </row>
    <row r="19" spans="1:13" x14ac:dyDescent="0.25">
      <c r="A19" s="39" t="s">
        <v>30</v>
      </c>
      <c r="B19">
        <v>1182.72719351307</v>
      </c>
      <c r="C19">
        <v>47874.63941643748</v>
      </c>
      <c r="D19">
        <v>55974.675415467224</v>
      </c>
      <c r="E19">
        <v>59587.442391885772</v>
      </c>
      <c r="F19">
        <v>60093.213753046897</v>
      </c>
      <c r="G19">
        <v>76068.155382843921</v>
      </c>
      <c r="H19">
        <v>100979.7041289124</v>
      </c>
      <c r="I19">
        <v>173336.05861894539</v>
      </c>
      <c r="J19" s="41">
        <v>-1025507.816556707</v>
      </c>
      <c r="K19">
        <v>4640224.5832825629</v>
      </c>
      <c r="L19">
        <v>162834632.27006611</v>
      </c>
      <c r="M19">
        <v>70243672.413434505</v>
      </c>
    </row>
    <row r="20" spans="1:13" x14ac:dyDescent="0.25">
      <c r="A20" s="39" t="s">
        <v>31</v>
      </c>
      <c r="B20">
        <v>35198.938450688504</v>
      </c>
      <c r="C20">
        <v>120833.0796336691</v>
      </c>
      <c r="D20">
        <v>119053.483366482</v>
      </c>
      <c r="E20">
        <v>123220.89112271889</v>
      </c>
      <c r="F20">
        <v>123631.6960265057</v>
      </c>
      <c r="G20">
        <v>101602.7408823982</v>
      </c>
      <c r="H20">
        <v>108873.73635253809</v>
      </c>
      <c r="I20">
        <v>154003.1272185008</v>
      </c>
      <c r="J20">
        <v>296519.98153261602</v>
      </c>
      <c r="K20">
        <v>5483214.4265605053</v>
      </c>
      <c r="L20">
        <v>78743820.410734802</v>
      </c>
      <c r="M20">
        <v>49893782.704518951</v>
      </c>
    </row>
    <row r="21" spans="1:13" x14ac:dyDescent="0.25">
      <c r="A21" s="39" t="s">
        <v>32</v>
      </c>
      <c r="B21">
        <v>0</v>
      </c>
      <c r="C21">
        <v>8908.400267347628</v>
      </c>
      <c r="D21">
        <v>6435.449174346606</v>
      </c>
      <c r="E21">
        <v>6277.2272531955823</v>
      </c>
      <c r="F21">
        <v>10894.481816803769</v>
      </c>
      <c r="G21">
        <v>10609.566567021489</v>
      </c>
      <c r="H21">
        <v>17722.413236495111</v>
      </c>
      <c r="I21">
        <v>35538.189011299852</v>
      </c>
      <c r="J21">
        <v>119955.12721311609</v>
      </c>
      <c r="K21">
        <v>1898009.052562654</v>
      </c>
      <c r="L21">
        <v>56081741.232276917</v>
      </c>
      <c r="M21">
        <v>28636147.230557401</v>
      </c>
    </row>
    <row r="22" spans="1:13" x14ac:dyDescent="0.25">
      <c r="A22" s="39" t="s">
        <v>33</v>
      </c>
      <c r="B22">
        <v>68626.117577233541</v>
      </c>
      <c r="C22">
        <v>1353.8707116657749</v>
      </c>
      <c r="D22">
        <v>1629.119593956799</v>
      </c>
      <c r="E22">
        <v>202981.5420014722</v>
      </c>
      <c r="F22">
        <v>543255.08137697272</v>
      </c>
      <c r="G22">
        <v>547758.45468788582</v>
      </c>
      <c r="H22">
        <v>468769.78977183008</v>
      </c>
      <c r="I22">
        <v>486112.97207719041</v>
      </c>
      <c r="J22">
        <v>671279.27054092742</v>
      </c>
      <c r="K22">
        <v>5731277.2636060184</v>
      </c>
      <c r="L22">
        <v>128453433.2728384</v>
      </c>
      <c r="M22">
        <v>22961842.472050011</v>
      </c>
    </row>
    <row r="23" spans="1:13" x14ac:dyDescent="0.25">
      <c r="A23" s="39" t="s">
        <v>34</v>
      </c>
      <c r="L23" s="41">
        <v>-95962282.458007023</v>
      </c>
      <c r="M23" s="41">
        <v>-84632717.756388038</v>
      </c>
    </row>
    <row r="24" spans="1:13" x14ac:dyDescent="0.25">
      <c r="A24" s="39" t="s">
        <v>13</v>
      </c>
      <c r="B24">
        <v>1892255.803376707</v>
      </c>
      <c r="C24">
        <v>1924861.672620788</v>
      </c>
      <c r="D24">
        <v>2451786.6202313509</v>
      </c>
      <c r="E24">
        <v>3470876.8349334169</v>
      </c>
      <c r="F24">
        <v>3537016.3045979561</v>
      </c>
      <c r="G24">
        <v>6919942.2730669277</v>
      </c>
      <c r="H24">
        <v>9303743.0149257649</v>
      </c>
      <c r="I24">
        <v>11815517.57238635</v>
      </c>
      <c r="J24">
        <v>16893169.42003328</v>
      </c>
      <c r="K24">
        <v>179591838.1733427</v>
      </c>
      <c r="L24">
        <v>1947095183.1624849</v>
      </c>
      <c r="M24">
        <v>673420294.26760805</v>
      </c>
    </row>
    <row r="25" spans="1:13" x14ac:dyDescent="0.25">
      <c r="A25" s="39" t="s">
        <v>35</v>
      </c>
      <c r="B25">
        <v>95774.566745105258</v>
      </c>
      <c r="C25">
        <v>93177.721532451542</v>
      </c>
      <c r="D25">
        <v>169083.19869511871</v>
      </c>
      <c r="E25">
        <v>833294.27360390383</v>
      </c>
      <c r="F25">
        <v>880147.90160026099</v>
      </c>
      <c r="G25">
        <v>954666.17590833898</v>
      </c>
      <c r="H25">
        <v>937265.72548264056</v>
      </c>
      <c r="I25">
        <v>1545663.4991280739</v>
      </c>
      <c r="J25">
        <v>1751375.9471060529</v>
      </c>
      <c r="K25" s="41">
        <v>-93247735.745856881</v>
      </c>
      <c r="L25" s="41">
        <v>-1071297471.9590811</v>
      </c>
      <c r="M25" s="41">
        <v>-544135256.21946299</v>
      </c>
    </row>
    <row r="26" spans="1:13" x14ac:dyDescent="0.25">
      <c r="A26" s="39" t="s">
        <v>36</v>
      </c>
      <c r="B26">
        <v>0</v>
      </c>
      <c r="C26">
        <v>0</v>
      </c>
      <c r="D26">
        <v>0</v>
      </c>
      <c r="E26">
        <v>0</v>
      </c>
      <c r="F26">
        <v>0</v>
      </c>
      <c r="G26">
        <v>137.34380813033201</v>
      </c>
      <c r="H26">
        <v>156.0624200224411</v>
      </c>
      <c r="I26">
        <v>183.72697198952659</v>
      </c>
      <c r="J26">
        <v>216.04804960155161</v>
      </c>
      <c r="K26">
        <v>519.33689305429289</v>
      </c>
      <c r="L26">
        <v>8532520.9074443486</v>
      </c>
      <c r="M26">
        <v>7063646.1348346937</v>
      </c>
    </row>
    <row r="27" spans="1:13" x14ac:dyDescent="0.25">
      <c r="A27" s="39" t="s">
        <v>13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126364.5016536832</v>
      </c>
      <c r="L27">
        <v>1729137.0270642871</v>
      </c>
      <c r="M27">
        <v>891254.09149143007</v>
      </c>
    </row>
    <row r="28" spans="1:13" x14ac:dyDescent="0.25">
      <c r="A28" s="39" t="s">
        <v>38</v>
      </c>
      <c r="B28">
        <v>21074.102261846001</v>
      </c>
      <c r="C28">
        <v>39977.566584758242</v>
      </c>
      <c r="D28">
        <v>41846.701032656681</v>
      </c>
      <c r="E28">
        <v>50435.073384548501</v>
      </c>
      <c r="F28">
        <v>47562.976192155133</v>
      </c>
      <c r="G28" s="41">
        <v>-26939.175016736979</v>
      </c>
      <c r="H28">
        <v>7273.1803939734373</v>
      </c>
      <c r="I28">
        <v>596223.94088945957</v>
      </c>
      <c r="J28">
        <v>478316.13054985623</v>
      </c>
      <c r="K28" s="41">
        <v>-73365051.028562129</v>
      </c>
      <c r="L28" s="41">
        <v>-126965331.2813541</v>
      </c>
      <c r="M28" s="41">
        <v>-87415036.370020509</v>
      </c>
    </row>
    <row r="29" spans="1:13" x14ac:dyDescent="0.25">
      <c r="A29" s="39" t="s">
        <v>39</v>
      </c>
      <c r="B29">
        <v>156508.05153008629</v>
      </c>
      <c r="C29">
        <v>9225.4635853486652</v>
      </c>
      <c r="D29">
        <v>3320.1308024959221</v>
      </c>
      <c r="E29" s="41">
        <v>-4594.697202664378</v>
      </c>
      <c r="F29" s="41">
        <v>-96805.650486390543</v>
      </c>
      <c r="G29" s="41">
        <v>-9663.4576226687841</v>
      </c>
      <c r="H29" s="41">
        <v>-419755.92677174049</v>
      </c>
      <c r="I29" s="41">
        <v>-309735.28300497087</v>
      </c>
      <c r="J29">
        <v>371575.06618490012</v>
      </c>
      <c r="K29" s="41">
        <v>-9396515.5346788745</v>
      </c>
      <c r="L29" s="41">
        <v>-227343747.6247704</v>
      </c>
      <c r="M29" s="41">
        <v>-119292441.139249</v>
      </c>
    </row>
    <row r="30" spans="1:13" x14ac:dyDescent="0.25">
      <c r="A30" s="39" t="s">
        <v>40</v>
      </c>
      <c r="B30" s="41">
        <v>-37041.134332000009</v>
      </c>
      <c r="C30" s="41">
        <v>-29614.36503981239</v>
      </c>
      <c r="D30" s="41">
        <v>-902707.40497963538</v>
      </c>
      <c r="E30">
        <v>31660.25811446361</v>
      </c>
      <c r="F30" s="41">
        <v>-635712.98063410551</v>
      </c>
      <c r="G30" s="41">
        <v>-606543.383179661</v>
      </c>
      <c r="H30" s="41">
        <v>-523675.62925762421</v>
      </c>
      <c r="I30" s="41">
        <v>-394124.83979357022</v>
      </c>
      <c r="J30" s="41">
        <v>-555145.02166317578</v>
      </c>
      <c r="K30" s="41">
        <v>-16344775.08996864</v>
      </c>
      <c r="L30" s="41">
        <v>-221587275.55767009</v>
      </c>
      <c r="M30" s="41">
        <v>-38610053.304422781</v>
      </c>
    </row>
    <row r="31" spans="1:13" x14ac:dyDescent="0.25">
      <c r="A31" s="39" t="s">
        <v>41</v>
      </c>
      <c r="M31" s="41">
        <v>-2031061.7275381091</v>
      </c>
    </row>
    <row r="32" spans="1:13" x14ac:dyDescent="0.25">
      <c r="A32" s="39" t="s">
        <v>42</v>
      </c>
      <c r="B32" s="41">
        <v>-74.92054383395589</v>
      </c>
      <c r="C32" s="41">
        <v>-4903.4028087066126</v>
      </c>
      <c r="D32" s="41">
        <v>-2617.4194664492661</v>
      </c>
      <c r="E32">
        <v>1788.196107174251</v>
      </c>
      <c r="F32">
        <v>11601.90247163507</v>
      </c>
      <c r="G32">
        <v>14951.65087139485</v>
      </c>
      <c r="H32" s="41">
        <v>-36794.935302938917</v>
      </c>
      <c r="I32" s="41">
        <v>-366133.04296366213</v>
      </c>
      <c r="J32" s="41">
        <v>-94505.466915220313</v>
      </c>
      <c r="K32" s="41">
        <v>-2835014.0289702639</v>
      </c>
      <c r="L32">
        <v>334024036.66822821</v>
      </c>
      <c r="M32" s="41">
        <v>-27277190.06085651</v>
      </c>
    </row>
    <row r="33" spans="1:13" x14ac:dyDescent="0.25">
      <c r="A33" s="39" t="s">
        <v>43</v>
      </c>
      <c r="M33" s="41">
        <v>-226736783.9307709</v>
      </c>
    </row>
    <row r="34" spans="1:13" x14ac:dyDescent="0.25">
      <c r="A34" s="39" t="s">
        <v>44</v>
      </c>
      <c r="L34" s="41">
        <v>-63790054.819829129</v>
      </c>
      <c r="M34" s="41">
        <v>-2227333.3269353998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CE01-7047-4C9D-B223-CEF1698E359E}">
  <sheetPr codeName="Hoja3"/>
  <dimension ref="C2:G29"/>
  <sheetViews>
    <sheetView zoomScale="70" zoomScaleNormal="70" workbookViewId="0"/>
  </sheetViews>
  <sheetFormatPr baseColWidth="10" defaultRowHeight="15" x14ac:dyDescent="0.25"/>
  <cols>
    <col min="3" max="3" width="19.42578125" customWidth="1"/>
    <col min="4" max="4" width="14.85546875" customWidth="1"/>
    <col min="7" max="7" width="26.5703125" customWidth="1"/>
  </cols>
  <sheetData>
    <row r="2" spans="3:7" ht="26.25" x14ac:dyDescent="0.4">
      <c r="C2" s="45" t="s">
        <v>58</v>
      </c>
      <c r="D2" s="45" t="s">
        <v>59</v>
      </c>
      <c r="F2" s="46" t="s">
        <v>60</v>
      </c>
      <c r="G2" s="47">
        <v>45653</v>
      </c>
    </row>
    <row r="3" spans="3:7" x14ac:dyDescent="0.25">
      <c r="C3" t="s">
        <v>10</v>
      </c>
      <c r="D3" t="s">
        <v>61</v>
      </c>
    </row>
    <row r="4" spans="3:7" x14ac:dyDescent="0.25">
      <c r="C4" t="s">
        <v>11</v>
      </c>
      <c r="D4" t="s">
        <v>62</v>
      </c>
    </row>
    <row r="5" spans="3:7" x14ac:dyDescent="0.25">
      <c r="C5" t="s">
        <v>13</v>
      </c>
      <c r="D5" t="s">
        <v>63</v>
      </c>
    </row>
    <row r="6" spans="3:7" x14ac:dyDescent="0.25">
      <c r="C6" t="s">
        <v>14</v>
      </c>
      <c r="D6" t="s">
        <v>64</v>
      </c>
    </row>
    <row r="7" spans="3:7" x14ac:dyDescent="0.25">
      <c r="C7" t="s">
        <v>15</v>
      </c>
      <c r="D7" t="s">
        <v>65</v>
      </c>
    </row>
    <row r="8" spans="3:7" x14ac:dyDescent="0.25">
      <c r="C8" t="s">
        <v>16</v>
      </c>
      <c r="D8" t="s">
        <v>66</v>
      </c>
    </row>
    <row r="9" spans="3:7" x14ac:dyDescent="0.25">
      <c r="C9" t="s">
        <v>18</v>
      </c>
      <c r="D9" t="s">
        <v>67</v>
      </c>
    </row>
    <row r="10" spans="3:7" x14ac:dyDescent="0.25">
      <c r="C10" t="s">
        <v>19</v>
      </c>
      <c r="D10" t="s">
        <v>68</v>
      </c>
    </row>
    <row r="11" spans="3:7" x14ac:dyDescent="0.25">
      <c r="C11" t="s">
        <v>20</v>
      </c>
      <c r="D11" t="s">
        <v>69</v>
      </c>
    </row>
    <row r="12" spans="3:7" x14ac:dyDescent="0.25">
      <c r="C12" t="s">
        <v>21</v>
      </c>
      <c r="D12" t="s">
        <v>70</v>
      </c>
    </row>
    <row r="13" spans="3:7" x14ac:dyDescent="0.25">
      <c r="C13" t="s">
        <v>22</v>
      </c>
      <c r="D13" t="s">
        <v>71</v>
      </c>
    </row>
    <row r="14" spans="3:7" x14ac:dyDescent="0.25">
      <c r="C14" t="s">
        <v>23</v>
      </c>
      <c r="D14" s="48" t="s">
        <v>72</v>
      </c>
    </row>
    <row r="15" spans="3:7" x14ac:dyDescent="0.25">
      <c r="C15" t="s">
        <v>24</v>
      </c>
      <c r="D15" t="s">
        <v>73</v>
      </c>
    </row>
    <row r="16" spans="3:7" x14ac:dyDescent="0.25">
      <c r="C16" t="s">
        <v>25</v>
      </c>
      <c r="D16" t="s">
        <v>74</v>
      </c>
    </row>
    <row r="17" spans="3:4" x14ac:dyDescent="0.25">
      <c r="C17" t="s">
        <v>26</v>
      </c>
      <c r="D17" t="s">
        <v>75</v>
      </c>
    </row>
    <row r="18" spans="3:4" x14ac:dyDescent="0.25">
      <c r="C18" t="s">
        <v>27</v>
      </c>
      <c r="D18" t="s">
        <v>76</v>
      </c>
    </row>
    <row r="19" spans="3:4" x14ac:dyDescent="0.25">
      <c r="C19" t="s">
        <v>28</v>
      </c>
      <c r="D19" t="s">
        <v>77</v>
      </c>
    </row>
    <row r="20" spans="3:4" x14ac:dyDescent="0.25">
      <c r="C20" t="s">
        <v>34</v>
      </c>
      <c r="D20" t="s">
        <v>78</v>
      </c>
    </row>
    <row r="21" spans="3:4" x14ac:dyDescent="0.25">
      <c r="C21" t="s">
        <v>35</v>
      </c>
      <c r="D21" t="s">
        <v>79</v>
      </c>
    </row>
    <row r="22" spans="3:4" x14ac:dyDescent="0.25">
      <c r="C22" t="s">
        <v>36</v>
      </c>
      <c r="D22" t="s">
        <v>80</v>
      </c>
    </row>
    <row r="23" spans="3:4" x14ac:dyDescent="0.25">
      <c r="C23" t="s">
        <v>38</v>
      </c>
      <c r="D23" t="s">
        <v>81</v>
      </c>
    </row>
    <row r="24" spans="3:4" x14ac:dyDescent="0.25">
      <c r="C24" t="s">
        <v>39</v>
      </c>
      <c r="D24" t="s">
        <v>82</v>
      </c>
    </row>
    <row r="25" spans="3:4" x14ac:dyDescent="0.25">
      <c r="C25" t="s">
        <v>40</v>
      </c>
      <c r="D25" t="s">
        <v>83</v>
      </c>
    </row>
    <row r="26" spans="3:4" x14ac:dyDescent="0.25">
      <c r="C26" t="s">
        <v>42</v>
      </c>
      <c r="D26" t="s">
        <v>84</v>
      </c>
    </row>
    <row r="27" spans="3:4" x14ac:dyDescent="0.25">
      <c r="C27" t="s">
        <v>43</v>
      </c>
      <c r="D27" t="s">
        <v>85</v>
      </c>
    </row>
    <row r="28" spans="3:4" x14ac:dyDescent="0.25">
      <c r="C28" t="s">
        <v>44</v>
      </c>
      <c r="D28" t="s">
        <v>86</v>
      </c>
    </row>
    <row r="29" spans="3:4" x14ac:dyDescent="0.25">
      <c r="C29" t="s">
        <v>41</v>
      </c>
      <c r="D29" s="48" t="s">
        <v>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ADC3-F64F-49DE-8505-9B7F5FCFAC5D}">
  <sheetPr codeName="Hoja8"/>
  <dimension ref="A1:J2128"/>
  <sheetViews>
    <sheetView zoomScale="70" zoomScaleNormal="70" workbookViewId="0"/>
  </sheetViews>
  <sheetFormatPr baseColWidth="10" defaultColWidth="11.42578125" defaultRowHeight="12.75" x14ac:dyDescent="0.2"/>
  <cols>
    <col min="1" max="1" width="20.5703125" style="49" customWidth="1"/>
    <col min="2" max="2" width="25.5703125" style="49" bestFit="1" customWidth="1"/>
    <col min="3" max="3" width="13.5703125" style="49" bestFit="1" customWidth="1"/>
    <col min="4" max="4" width="15.7109375" style="49" customWidth="1"/>
    <col min="5" max="5" width="26.42578125" style="49" bestFit="1" customWidth="1"/>
    <col min="6" max="6" width="20.7109375" style="49" bestFit="1" customWidth="1"/>
    <col min="7" max="7" width="12.42578125" style="49" bestFit="1" customWidth="1"/>
    <col min="8" max="8" width="9.85546875" style="49" bestFit="1" customWidth="1"/>
    <col min="9" max="9" width="16.28515625" style="49" bestFit="1" customWidth="1"/>
    <col min="10" max="10" width="13.42578125" style="49" customWidth="1"/>
    <col min="11" max="11" width="10.42578125" style="49" bestFit="1" customWidth="1"/>
    <col min="12" max="12" width="6.5703125" style="49" bestFit="1" customWidth="1"/>
    <col min="13" max="13" width="16.28515625" style="49" bestFit="1" customWidth="1"/>
    <col min="14" max="14" width="9.7109375" style="49" bestFit="1" customWidth="1"/>
    <col min="15" max="15" width="8.7109375" style="49" bestFit="1" customWidth="1"/>
    <col min="16" max="16" width="14.28515625" style="49" bestFit="1" customWidth="1"/>
    <col min="17" max="17" width="9.42578125" style="49" bestFit="1" customWidth="1"/>
    <col min="18" max="18" width="15.42578125" style="49" bestFit="1" customWidth="1"/>
    <col min="19" max="19" width="12.140625" style="49" bestFit="1" customWidth="1"/>
    <col min="20" max="20" width="17.28515625" style="49" bestFit="1" customWidth="1"/>
    <col min="21" max="21" width="15.7109375" style="49" bestFit="1" customWidth="1"/>
    <col min="22" max="22" width="17.28515625" style="49" bestFit="1" customWidth="1"/>
    <col min="23" max="23" width="8.42578125" style="49" bestFit="1" customWidth="1"/>
    <col min="24" max="24" width="6" style="49" bestFit="1" customWidth="1"/>
    <col min="25" max="25" width="10.42578125" style="49" bestFit="1" customWidth="1"/>
    <col min="26" max="26" width="17.7109375" style="49" bestFit="1" customWidth="1"/>
    <col min="27" max="27" width="13.85546875" style="49" bestFit="1" customWidth="1"/>
    <col min="28" max="28" width="6.42578125" style="49" bestFit="1" customWidth="1"/>
    <col min="29" max="29" width="5.140625" style="49" bestFit="1" customWidth="1"/>
    <col min="30" max="30" width="8" style="49" bestFit="1" customWidth="1"/>
    <col min="31" max="31" width="8.140625" style="49" bestFit="1" customWidth="1"/>
    <col min="32" max="32" width="12.85546875" style="49" bestFit="1" customWidth="1"/>
    <col min="33" max="33" width="23.28515625" style="49" bestFit="1" customWidth="1"/>
    <col min="34" max="34" width="12.28515625" style="49" bestFit="1" customWidth="1"/>
    <col min="35" max="35" width="9.7109375" style="49" bestFit="1" customWidth="1"/>
    <col min="36" max="36" width="7.7109375" style="49" bestFit="1" customWidth="1"/>
    <col min="37" max="37" width="13.42578125" style="49" bestFit="1" customWidth="1"/>
    <col min="38" max="38" width="12.85546875" style="49" bestFit="1" customWidth="1"/>
    <col min="39" max="39" width="15.28515625" style="49" bestFit="1" customWidth="1"/>
    <col min="40" max="40" width="13.28515625" style="49" bestFit="1" customWidth="1"/>
    <col min="41" max="41" width="25.5703125" style="49" bestFit="1" customWidth="1"/>
    <col min="42" max="42" width="16.7109375" style="49" bestFit="1" customWidth="1"/>
    <col min="43" max="43" width="8.42578125" style="49" bestFit="1" customWidth="1"/>
    <col min="44" max="44" width="13.42578125" style="49" bestFit="1" customWidth="1"/>
    <col min="45" max="45" width="10.28515625" style="49" bestFit="1" customWidth="1"/>
    <col min="46" max="46" width="13.42578125" style="49" bestFit="1" customWidth="1"/>
    <col min="47" max="47" width="20.42578125" style="49" bestFit="1" customWidth="1"/>
    <col min="48" max="48" width="11.28515625" style="49" bestFit="1" customWidth="1"/>
    <col min="49" max="49" width="23.7109375" style="49" bestFit="1" customWidth="1"/>
    <col min="50" max="50" width="8.85546875" style="49" bestFit="1" customWidth="1"/>
    <col min="51" max="51" width="4.7109375" style="49" bestFit="1" customWidth="1"/>
    <col min="52" max="52" width="6.28515625" style="49" bestFit="1" customWidth="1"/>
    <col min="53" max="53" width="3.7109375" style="49" bestFit="1" customWidth="1"/>
    <col min="54" max="54" width="7.85546875" style="49" bestFit="1" customWidth="1"/>
    <col min="55" max="55" width="19" style="49" bestFit="1" customWidth="1"/>
    <col min="56" max="56" width="10.140625" style="49" bestFit="1" customWidth="1"/>
    <col min="57" max="57" width="4.28515625" style="49" bestFit="1" customWidth="1"/>
    <col min="58" max="58" width="10.28515625" style="49" bestFit="1" customWidth="1"/>
    <col min="59" max="59" width="21.7109375" style="49" bestFit="1" customWidth="1"/>
    <col min="60" max="60" width="7.140625" style="49" bestFit="1" customWidth="1"/>
    <col min="61" max="61" width="11.85546875" style="49" bestFit="1" customWidth="1"/>
    <col min="62" max="16384" width="11.42578125" style="49"/>
  </cols>
  <sheetData>
    <row r="1" spans="1:10" x14ac:dyDescent="0.2">
      <c r="A1" s="49" t="s">
        <v>88</v>
      </c>
      <c r="B1" s="49" t="s">
        <v>89</v>
      </c>
      <c r="C1" s="49" t="s">
        <v>90</v>
      </c>
      <c r="I1" s="50">
        <f>+SUM(G:G)</f>
        <v>6631726123</v>
      </c>
    </row>
    <row r="2" spans="1:10" x14ac:dyDescent="0.2">
      <c r="A2" s="49" t="s">
        <v>91</v>
      </c>
      <c r="B2" s="49" t="s">
        <v>92</v>
      </c>
      <c r="C2" s="49" t="s">
        <v>93</v>
      </c>
      <c r="I2" s="50">
        <f>+SUM(CPETR)</f>
        <v>6631726124.6606064</v>
      </c>
    </row>
    <row r="3" spans="1:10" x14ac:dyDescent="0.2">
      <c r="A3" s="49" t="s">
        <v>94</v>
      </c>
      <c r="B3" s="49" t="s">
        <v>95</v>
      </c>
      <c r="C3" s="49" t="s">
        <v>96</v>
      </c>
      <c r="I3" s="51">
        <f>+I2-I1</f>
        <v>1.6606063842773438</v>
      </c>
      <c r="J3" s="49">
        <f>+SUMIF(CPETR,"&lt;9.5")</f>
        <v>0</v>
      </c>
    </row>
    <row r="4" spans="1:10" x14ac:dyDescent="0.2">
      <c r="A4" s="49" t="s">
        <v>97</v>
      </c>
      <c r="B4" s="52" t="str">
        <f>+MONTH(EMPRESAS!$G$2)&amp;"/"&amp;DAY(EMPRESAS!$G$2)&amp;"/"&amp;YEAR(EMPRESAS!$G$2)&amp;" 0:00"</f>
        <v>12/27/2024 0:00</v>
      </c>
    </row>
    <row r="5" spans="1:10" x14ac:dyDescent="0.2">
      <c r="A5" s="49" t="s">
        <v>98</v>
      </c>
      <c r="B5" s="53" t="str">
        <f>+MONTH(EMPRESAS!$G$2)&amp;"/"&amp;DAY(EMPRESAS!$G$2)&amp;"/"&amp;YEAR(EMPRESAS!$G$2)</f>
        <v>12/27/2024</v>
      </c>
    </row>
    <row r="6" spans="1:10" ht="15" x14ac:dyDescent="0.25">
      <c r="A6" t="s">
        <v>99</v>
      </c>
      <c r="B6" t="s">
        <v>100</v>
      </c>
      <c r="C6" t="s">
        <v>101</v>
      </c>
      <c r="D6" t="s">
        <v>102</v>
      </c>
      <c r="E6" t="s">
        <v>103</v>
      </c>
      <c r="F6" t="s">
        <v>104</v>
      </c>
      <c r="G6" t="s">
        <v>105</v>
      </c>
    </row>
    <row r="7" spans="1:10" ht="15" x14ac:dyDescent="0.25">
      <c r="A7" t="s">
        <v>106</v>
      </c>
      <c r="B7" t="s">
        <v>11</v>
      </c>
      <c r="C7" t="s">
        <v>62</v>
      </c>
      <c r="D7" t="s">
        <v>107</v>
      </c>
      <c r="E7" t="s">
        <v>10</v>
      </c>
      <c r="F7" t="s">
        <v>61</v>
      </c>
      <c r="G7">
        <v>32070468</v>
      </c>
    </row>
    <row r="8" spans="1:10" ht="15" x14ac:dyDescent="0.25">
      <c r="A8" t="s">
        <v>106</v>
      </c>
      <c r="B8" t="s">
        <v>11</v>
      </c>
      <c r="C8" t="s">
        <v>62</v>
      </c>
      <c r="D8" t="s">
        <v>107</v>
      </c>
      <c r="E8" t="s">
        <v>15</v>
      </c>
      <c r="F8" t="s">
        <v>65</v>
      </c>
      <c r="G8">
        <v>59699960</v>
      </c>
    </row>
    <row r="9" spans="1:10" ht="15" x14ac:dyDescent="0.25">
      <c r="A9" t="s">
        <v>106</v>
      </c>
      <c r="B9" t="s">
        <v>11</v>
      </c>
      <c r="C9" t="s">
        <v>62</v>
      </c>
      <c r="D9" t="s">
        <v>107</v>
      </c>
      <c r="E9" t="s">
        <v>16</v>
      </c>
      <c r="F9" t="s">
        <v>66</v>
      </c>
      <c r="G9">
        <v>372122748</v>
      </c>
    </row>
    <row r="10" spans="1:10" ht="15" x14ac:dyDescent="0.25">
      <c r="A10" t="s">
        <v>106</v>
      </c>
      <c r="B10" t="s">
        <v>11</v>
      </c>
      <c r="C10" t="s">
        <v>62</v>
      </c>
      <c r="D10" t="s">
        <v>107</v>
      </c>
      <c r="E10" t="s">
        <v>18</v>
      </c>
      <c r="F10" t="s">
        <v>67</v>
      </c>
      <c r="G10">
        <v>200837506</v>
      </c>
    </row>
    <row r="11" spans="1:10" ht="15" x14ac:dyDescent="0.25">
      <c r="A11" t="s">
        <v>106</v>
      </c>
      <c r="B11" t="s">
        <v>11</v>
      </c>
      <c r="C11" t="s">
        <v>62</v>
      </c>
      <c r="D11" t="s">
        <v>107</v>
      </c>
      <c r="E11" t="s">
        <v>20</v>
      </c>
      <c r="F11" t="s">
        <v>69</v>
      </c>
      <c r="G11">
        <v>169710547</v>
      </c>
    </row>
    <row r="12" spans="1:10" ht="15" x14ac:dyDescent="0.25">
      <c r="A12" t="s">
        <v>106</v>
      </c>
      <c r="B12" t="s">
        <v>11</v>
      </c>
      <c r="C12" t="s">
        <v>62</v>
      </c>
      <c r="D12" t="s">
        <v>107</v>
      </c>
      <c r="E12" t="s">
        <v>21</v>
      </c>
      <c r="F12" t="s">
        <v>70</v>
      </c>
      <c r="G12">
        <v>298867157</v>
      </c>
    </row>
    <row r="13" spans="1:10" ht="15" x14ac:dyDescent="0.25">
      <c r="A13" t="s">
        <v>106</v>
      </c>
      <c r="B13" t="s">
        <v>11</v>
      </c>
      <c r="C13" t="s">
        <v>62</v>
      </c>
      <c r="D13" t="s">
        <v>107</v>
      </c>
      <c r="E13" t="s">
        <v>22</v>
      </c>
      <c r="F13" t="s">
        <v>71</v>
      </c>
      <c r="G13">
        <v>196688395</v>
      </c>
    </row>
    <row r="14" spans="1:10" ht="15" x14ac:dyDescent="0.25">
      <c r="A14" t="s">
        <v>106</v>
      </c>
      <c r="B14" t="s">
        <v>11</v>
      </c>
      <c r="C14" t="s">
        <v>62</v>
      </c>
      <c r="D14" t="s">
        <v>107</v>
      </c>
      <c r="E14" t="s">
        <v>23</v>
      </c>
      <c r="F14" t="s">
        <v>72</v>
      </c>
      <c r="G14">
        <v>6109275</v>
      </c>
    </row>
    <row r="15" spans="1:10" ht="15" x14ac:dyDescent="0.25">
      <c r="A15" t="s">
        <v>106</v>
      </c>
      <c r="B15" t="s">
        <v>11</v>
      </c>
      <c r="C15" t="s">
        <v>62</v>
      </c>
      <c r="D15" t="s">
        <v>107</v>
      </c>
      <c r="E15" t="s">
        <v>25</v>
      </c>
      <c r="F15" t="s">
        <v>74</v>
      </c>
      <c r="G15">
        <v>338269737</v>
      </c>
    </row>
    <row r="16" spans="1:10" ht="15" x14ac:dyDescent="0.25">
      <c r="A16" t="s">
        <v>106</v>
      </c>
      <c r="B16" t="s">
        <v>11</v>
      </c>
      <c r="C16" t="s">
        <v>62</v>
      </c>
      <c r="D16" t="s">
        <v>107</v>
      </c>
      <c r="E16" t="s">
        <v>34</v>
      </c>
      <c r="F16" t="s">
        <v>78</v>
      </c>
      <c r="G16">
        <v>85614871</v>
      </c>
    </row>
    <row r="17" spans="1:7" ht="15" x14ac:dyDescent="0.25">
      <c r="A17" t="s">
        <v>106</v>
      </c>
      <c r="B17" t="s">
        <v>11</v>
      </c>
      <c r="C17" t="s">
        <v>62</v>
      </c>
      <c r="D17" t="s">
        <v>107</v>
      </c>
      <c r="E17" t="s">
        <v>35</v>
      </c>
      <c r="F17" t="s">
        <v>79</v>
      </c>
      <c r="G17">
        <v>806594060</v>
      </c>
    </row>
    <row r="18" spans="1:7" ht="15" x14ac:dyDescent="0.25">
      <c r="A18" t="s">
        <v>106</v>
      </c>
      <c r="B18" t="s">
        <v>11</v>
      </c>
      <c r="C18" t="s">
        <v>62</v>
      </c>
      <c r="D18" t="s">
        <v>107</v>
      </c>
      <c r="E18" t="s">
        <v>38</v>
      </c>
      <c r="F18" t="s">
        <v>81</v>
      </c>
      <c r="G18">
        <v>135816463</v>
      </c>
    </row>
    <row r="19" spans="1:7" ht="15" x14ac:dyDescent="0.25">
      <c r="A19" t="s">
        <v>106</v>
      </c>
      <c r="B19" t="s">
        <v>11</v>
      </c>
      <c r="C19" t="s">
        <v>62</v>
      </c>
      <c r="D19" t="s">
        <v>107</v>
      </c>
      <c r="E19" t="s">
        <v>39</v>
      </c>
      <c r="F19" t="s">
        <v>82</v>
      </c>
      <c r="G19">
        <v>168927002</v>
      </c>
    </row>
    <row r="20" spans="1:7" ht="15" x14ac:dyDescent="0.25">
      <c r="A20" t="s">
        <v>106</v>
      </c>
      <c r="B20" t="s">
        <v>11</v>
      </c>
      <c r="C20" t="s">
        <v>62</v>
      </c>
      <c r="D20" t="s">
        <v>107</v>
      </c>
      <c r="E20" t="s">
        <v>40</v>
      </c>
      <c r="F20" t="s">
        <v>83</v>
      </c>
      <c r="G20">
        <v>132832356</v>
      </c>
    </row>
    <row r="21" spans="1:7" ht="15" x14ac:dyDescent="0.25">
      <c r="A21" t="s">
        <v>106</v>
      </c>
      <c r="B21" t="s">
        <v>11</v>
      </c>
      <c r="C21" t="s">
        <v>62</v>
      </c>
      <c r="D21" t="s">
        <v>107</v>
      </c>
      <c r="E21" t="s">
        <v>41</v>
      </c>
      <c r="F21" t="s">
        <v>87</v>
      </c>
      <c r="G21">
        <v>962868</v>
      </c>
    </row>
    <row r="22" spans="1:7" ht="15" x14ac:dyDescent="0.25">
      <c r="A22" t="s">
        <v>106</v>
      </c>
      <c r="B22" t="s">
        <v>11</v>
      </c>
      <c r="C22" t="s">
        <v>62</v>
      </c>
      <c r="D22" t="s">
        <v>107</v>
      </c>
      <c r="E22" t="s">
        <v>43</v>
      </c>
      <c r="F22" t="s">
        <v>85</v>
      </c>
      <c r="G22">
        <v>107489357</v>
      </c>
    </row>
    <row r="23" spans="1:7" ht="15" x14ac:dyDescent="0.25">
      <c r="A23" t="s">
        <v>106</v>
      </c>
      <c r="B23" t="s">
        <v>11</v>
      </c>
      <c r="C23" t="s">
        <v>62</v>
      </c>
      <c r="D23" t="s">
        <v>107</v>
      </c>
      <c r="E23" t="s">
        <v>44</v>
      </c>
      <c r="F23" t="s">
        <v>86</v>
      </c>
      <c r="G23">
        <v>31296936</v>
      </c>
    </row>
    <row r="24" spans="1:7" ht="15" x14ac:dyDescent="0.25">
      <c r="A24" t="s">
        <v>106</v>
      </c>
      <c r="B24" t="s">
        <v>14</v>
      </c>
      <c r="C24" t="s">
        <v>64</v>
      </c>
      <c r="D24" t="s">
        <v>107</v>
      </c>
      <c r="E24" t="s">
        <v>10</v>
      </c>
      <c r="F24" t="s">
        <v>61</v>
      </c>
      <c r="G24">
        <v>4580614</v>
      </c>
    </row>
    <row r="25" spans="1:7" ht="15" x14ac:dyDescent="0.25">
      <c r="A25" t="s">
        <v>106</v>
      </c>
      <c r="B25" t="s">
        <v>14</v>
      </c>
      <c r="C25" t="s">
        <v>64</v>
      </c>
      <c r="D25" t="s">
        <v>107</v>
      </c>
      <c r="E25" t="s">
        <v>15</v>
      </c>
      <c r="F25" t="s">
        <v>65</v>
      </c>
      <c r="G25">
        <v>8526925</v>
      </c>
    </row>
    <row r="26" spans="1:7" ht="15" x14ac:dyDescent="0.25">
      <c r="A26" t="s">
        <v>106</v>
      </c>
      <c r="B26" t="s">
        <v>14</v>
      </c>
      <c r="C26" t="s">
        <v>64</v>
      </c>
      <c r="D26" t="s">
        <v>107</v>
      </c>
      <c r="E26" t="s">
        <v>16</v>
      </c>
      <c r="F26" t="s">
        <v>66</v>
      </c>
      <c r="G26">
        <v>53150166</v>
      </c>
    </row>
    <row r="27" spans="1:7" ht="15" x14ac:dyDescent="0.25">
      <c r="A27" t="s">
        <v>106</v>
      </c>
      <c r="B27" t="s">
        <v>14</v>
      </c>
      <c r="C27" t="s">
        <v>64</v>
      </c>
      <c r="D27" t="s">
        <v>107</v>
      </c>
      <c r="E27" t="s">
        <v>18</v>
      </c>
      <c r="F27" t="s">
        <v>67</v>
      </c>
      <c r="G27">
        <v>28685553</v>
      </c>
    </row>
    <row r="28" spans="1:7" ht="15" x14ac:dyDescent="0.25">
      <c r="A28" t="s">
        <v>106</v>
      </c>
      <c r="B28" t="s">
        <v>14</v>
      </c>
      <c r="C28" t="s">
        <v>64</v>
      </c>
      <c r="D28" t="s">
        <v>107</v>
      </c>
      <c r="E28" t="s">
        <v>20</v>
      </c>
      <c r="F28" t="s">
        <v>69</v>
      </c>
      <c r="G28">
        <v>24239700</v>
      </c>
    </row>
    <row r="29" spans="1:7" ht="15" x14ac:dyDescent="0.25">
      <c r="A29" t="s">
        <v>106</v>
      </c>
      <c r="B29" t="s">
        <v>14</v>
      </c>
      <c r="C29" t="s">
        <v>64</v>
      </c>
      <c r="D29" t="s">
        <v>107</v>
      </c>
      <c r="E29" t="s">
        <v>21</v>
      </c>
      <c r="F29" t="s">
        <v>70</v>
      </c>
      <c r="G29">
        <v>42687095</v>
      </c>
    </row>
    <row r="30" spans="1:7" ht="15" x14ac:dyDescent="0.25">
      <c r="A30" t="s">
        <v>106</v>
      </c>
      <c r="B30" t="s">
        <v>14</v>
      </c>
      <c r="C30" t="s">
        <v>64</v>
      </c>
      <c r="D30" t="s">
        <v>107</v>
      </c>
      <c r="E30" t="s">
        <v>22</v>
      </c>
      <c r="F30" t="s">
        <v>71</v>
      </c>
      <c r="G30">
        <v>28092937</v>
      </c>
    </row>
    <row r="31" spans="1:7" ht="15" x14ac:dyDescent="0.25">
      <c r="A31" t="s">
        <v>106</v>
      </c>
      <c r="B31" t="s">
        <v>14</v>
      </c>
      <c r="C31" t="s">
        <v>64</v>
      </c>
      <c r="D31" t="s">
        <v>107</v>
      </c>
      <c r="E31" t="s">
        <v>23</v>
      </c>
      <c r="F31" t="s">
        <v>72</v>
      </c>
      <c r="G31">
        <v>872586</v>
      </c>
    </row>
    <row r="32" spans="1:7" ht="15" x14ac:dyDescent="0.25">
      <c r="A32" t="s">
        <v>106</v>
      </c>
      <c r="B32" t="s">
        <v>14</v>
      </c>
      <c r="C32" t="s">
        <v>64</v>
      </c>
      <c r="D32" t="s">
        <v>107</v>
      </c>
      <c r="E32" t="s">
        <v>25</v>
      </c>
      <c r="F32" t="s">
        <v>74</v>
      </c>
      <c r="G32">
        <v>48314952</v>
      </c>
    </row>
    <row r="33" spans="1:7" ht="15" x14ac:dyDescent="0.25">
      <c r="A33" t="s">
        <v>106</v>
      </c>
      <c r="B33" t="s">
        <v>14</v>
      </c>
      <c r="C33" t="s">
        <v>64</v>
      </c>
      <c r="D33" t="s">
        <v>107</v>
      </c>
      <c r="E33" t="s">
        <v>34</v>
      </c>
      <c r="F33" t="s">
        <v>78</v>
      </c>
      <c r="G33">
        <v>12228343</v>
      </c>
    </row>
    <row r="34" spans="1:7" ht="15" x14ac:dyDescent="0.25">
      <c r="A34" t="s">
        <v>106</v>
      </c>
      <c r="B34" t="s">
        <v>14</v>
      </c>
      <c r="C34" t="s">
        <v>64</v>
      </c>
      <c r="D34" t="s">
        <v>107</v>
      </c>
      <c r="E34" t="s">
        <v>35</v>
      </c>
      <c r="F34" t="s">
        <v>79</v>
      </c>
      <c r="G34">
        <v>115205557</v>
      </c>
    </row>
    <row r="35" spans="1:7" ht="15" x14ac:dyDescent="0.25">
      <c r="A35" t="s">
        <v>106</v>
      </c>
      <c r="B35" t="s">
        <v>14</v>
      </c>
      <c r="C35" t="s">
        <v>64</v>
      </c>
      <c r="D35" t="s">
        <v>107</v>
      </c>
      <c r="E35" t="s">
        <v>38</v>
      </c>
      <c r="F35" t="s">
        <v>81</v>
      </c>
      <c r="G35">
        <v>19398619</v>
      </c>
    </row>
    <row r="36" spans="1:7" ht="15" x14ac:dyDescent="0.25">
      <c r="A36" t="s">
        <v>106</v>
      </c>
      <c r="B36" t="s">
        <v>14</v>
      </c>
      <c r="C36" t="s">
        <v>64</v>
      </c>
      <c r="D36" t="s">
        <v>107</v>
      </c>
      <c r="E36" t="s">
        <v>39</v>
      </c>
      <c r="F36" t="s">
        <v>82</v>
      </c>
      <c r="G36">
        <v>24127787</v>
      </c>
    </row>
    <row r="37" spans="1:7" ht="15" x14ac:dyDescent="0.25">
      <c r="A37" t="s">
        <v>106</v>
      </c>
      <c r="B37" t="s">
        <v>14</v>
      </c>
      <c r="C37" t="s">
        <v>64</v>
      </c>
      <c r="D37" t="s">
        <v>107</v>
      </c>
      <c r="E37" t="s">
        <v>40</v>
      </c>
      <c r="F37" t="s">
        <v>83</v>
      </c>
      <c r="G37">
        <v>18972400</v>
      </c>
    </row>
    <row r="38" spans="1:7" ht="15" x14ac:dyDescent="0.25">
      <c r="A38" t="s">
        <v>106</v>
      </c>
      <c r="B38" t="s">
        <v>14</v>
      </c>
      <c r="C38" t="s">
        <v>64</v>
      </c>
      <c r="D38" t="s">
        <v>107</v>
      </c>
      <c r="E38" t="s">
        <v>41</v>
      </c>
      <c r="F38" t="s">
        <v>87</v>
      </c>
      <c r="G38">
        <v>137526</v>
      </c>
    </row>
    <row r="39" spans="1:7" ht="15" x14ac:dyDescent="0.25">
      <c r="A39" t="s">
        <v>106</v>
      </c>
      <c r="B39" t="s">
        <v>14</v>
      </c>
      <c r="C39" t="s">
        <v>64</v>
      </c>
      <c r="D39" t="s">
        <v>107</v>
      </c>
      <c r="E39" t="s">
        <v>43</v>
      </c>
      <c r="F39" t="s">
        <v>85</v>
      </c>
      <c r="G39">
        <v>15352668</v>
      </c>
    </row>
    <row r="40" spans="1:7" ht="15" x14ac:dyDescent="0.25">
      <c r="A40" t="s">
        <v>106</v>
      </c>
      <c r="B40" t="s">
        <v>14</v>
      </c>
      <c r="C40" t="s">
        <v>64</v>
      </c>
      <c r="D40" t="s">
        <v>107</v>
      </c>
      <c r="E40" t="s">
        <v>44</v>
      </c>
      <c r="F40" t="s">
        <v>86</v>
      </c>
      <c r="G40">
        <v>4470131</v>
      </c>
    </row>
    <row r="41" spans="1:7" ht="15" x14ac:dyDescent="0.25">
      <c r="A41" t="s">
        <v>106</v>
      </c>
      <c r="B41" t="s">
        <v>24</v>
      </c>
      <c r="C41" t="s">
        <v>73</v>
      </c>
      <c r="D41" t="s">
        <v>107</v>
      </c>
      <c r="E41" t="s">
        <v>10</v>
      </c>
      <c r="F41" t="s">
        <v>61</v>
      </c>
      <c r="G41">
        <v>192459</v>
      </c>
    </row>
    <row r="42" spans="1:7" ht="15" x14ac:dyDescent="0.25">
      <c r="A42" t="s">
        <v>106</v>
      </c>
      <c r="B42" t="s">
        <v>24</v>
      </c>
      <c r="C42" t="s">
        <v>73</v>
      </c>
      <c r="D42" t="s">
        <v>107</v>
      </c>
      <c r="E42" t="s">
        <v>15</v>
      </c>
      <c r="F42" t="s">
        <v>65</v>
      </c>
      <c r="G42">
        <v>358267</v>
      </c>
    </row>
    <row r="43" spans="1:7" ht="15" x14ac:dyDescent="0.25">
      <c r="A43" t="s">
        <v>106</v>
      </c>
      <c r="B43" t="s">
        <v>24</v>
      </c>
      <c r="C43" t="s">
        <v>73</v>
      </c>
      <c r="D43" t="s">
        <v>107</v>
      </c>
      <c r="E43" t="s">
        <v>16</v>
      </c>
      <c r="F43" t="s">
        <v>66</v>
      </c>
      <c r="G43">
        <v>2233158</v>
      </c>
    </row>
    <row r="44" spans="1:7" ht="15" x14ac:dyDescent="0.25">
      <c r="A44" t="s">
        <v>106</v>
      </c>
      <c r="B44" t="s">
        <v>24</v>
      </c>
      <c r="C44" t="s">
        <v>73</v>
      </c>
      <c r="D44" t="s">
        <v>107</v>
      </c>
      <c r="E44" t="s">
        <v>18</v>
      </c>
      <c r="F44" t="s">
        <v>67</v>
      </c>
      <c r="G44">
        <v>1205252</v>
      </c>
    </row>
    <row r="45" spans="1:7" ht="15" x14ac:dyDescent="0.25">
      <c r="A45" t="s">
        <v>106</v>
      </c>
      <c r="B45" t="s">
        <v>24</v>
      </c>
      <c r="C45" t="s">
        <v>73</v>
      </c>
      <c r="D45" t="s">
        <v>107</v>
      </c>
      <c r="E45" t="s">
        <v>20</v>
      </c>
      <c r="F45" t="s">
        <v>69</v>
      </c>
      <c r="G45">
        <v>1018455</v>
      </c>
    </row>
    <row r="46" spans="1:7" ht="15" x14ac:dyDescent="0.25">
      <c r="A46" t="s">
        <v>106</v>
      </c>
      <c r="B46" t="s">
        <v>24</v>
      </c>
      <c r="C46" t="s">
        <v>73</v>
      </c>
      <c r="D46" t="s">
        <v>107</v>
      </c>
      <c r="E46" t="s">
        <v>21</v>
      </c>
      <c r="F46" t="s">
        <v>70</v>
      </c>
      <c r="G46">
        <v>1793541</v>
      </c>
    </row>
    <row r="47" spans="1:7" ht="15" x14ac:dyDescent="0.25">
      <c r="A47" t="s">
        <v>106</v>
      </c>
      <c r="B47" t="s">
        <v>24</v>
      </c>
      <c r="C47" t="s">
        <v>73</v>
      </c>
      <c r="D47" t="s">
        <v>107</v>
      </c>
      <c r="E47" t="s">
        <v>22</v>
      </c>
      <c r="F47" t="s">
        <v>71</v>
      </c>
      <c r="G47">
        <v>1180353</v>
      </c>
    </row>
    <row r="48" spans="1:7" ht="15" x14ac:dyDescent="0.25">
      <c r="A48" t="s">
        <v>106</v>
      </c>
      <c r="B48" t="s">
        <v>24</v>
      </c>
      <c r="C48" t="s">
        <v>73</v>
      </c>
      <c r="D48" t="s">
        <v>107</v>
      </c>
      <c r="E48" t="s">
        <v>23</v>
      </c>
      <c r="F48" t="s">
        <v>72</v>
      </c>
      <c r="G48">
        <v>36663</v>
      </c>
    </row>
    <row r="49" spans="1:7" ht="15" x14ac:dyDescent="0.25">
      <c r="A49" t="s">
        <v>106</v>
      </c>
      <c r="B49" t="s">
        <v>24</v>
      </c>
      <c r="C49" t="s">
        <v>73</v>
      </c>
      <c r="D49" t="s">
        <v>107</v>
      </c>
      <c r="E49" t="s">
        <v>25</v>
      </c>
      <c r="F49" t="s">
        <v>74</v>
      </c>
      <c r="G49">
        <v>2030001</v>
      </c>
    </row>
    <row r="50" spans="1:7" ht="15" x14ac:dyDescent="0.25">
      <c r="A50" t="s">
        <v>106</v>
      </c>
      <c r="B50" t="s">
        <v>24</v>
      </c>
      <c r="C50" t="s">
        <v>73</v>
      </c>
      <c r="D50" t="s">
        <v>107</v>
      </c>
      <c r="E50" t="s">
        <v>34</v>
      </c>
      <c r="F50" t="s">
        <v>78</v>
      </c>
      <c r="G50">
        <v>513786</v>
      </c>
    </row>
    <row r="51" spans="1:7" ht="15" x14ac:dyDescent="0.25">
      <c r="A51" t="s">
        <v>106</v>
      </c>
      <c r="B51" t="s">
        <v>24</v>
      </c>
      <c r="C51" t="s">
        <v>73</v>
      </c>
      <c r="D51" t="s">
        <v>107</v>
      </c>
      <c r="E51" t="s">
        <v>35</v>
      </c>
      <c r="F51" t="s">
        <v>79</v>
      </c>
      <c r="G51">
        <v>4840477</v>
      </c>
    </row>
    <row r="52" spans="1:7" ht="15" x14ac:dyDescent="0.25">
      <c r="A52" t="s">
        <v>106</v>
      </c>
      <c r="B52" t="s">
        <v>24</v>
      </c>
      <c r="C52" t="s">
        <v>73</v>
      </c>
      <c r="D52" t="s">
        <v>107</v>
      </c>
      <c r="E52" t="s">
        <v>38</v>
      </c>
      <c r="F52" t="s">
        <v>81</v>
      </c>
      <c r="G52">
        <v>815053</v>
      </c>
    </row>
    <row r="53" spans="1:7" ht="15" x14ac:dyDescent="0.25">
      <c r="A53" t="s">
        <v>106</v>
      </c>
      <c r="B53" t="s">
        <v>24</v>
      </c>
      <c r="C53" t="s">
        <v>73</v>
      </c>
      <c r="D53" t="s">
        <v>107</v>
      </c>
      <c r="E53" t="s">
        <v>39</v>
      </c>
      <c r="F53" t="s">
        <v>82</v>
      </c>
      <c r="G53">
        <v>1013753</v>
      </c>
    </row>
    <row r="54" spans="1:7" ht="15" x14ac:dyDescent="0.25">
      <c r="A54" t="s">
        <v>106</v>
      </c>
      <c r="B54" t="s">
        <v>24</v>
      </c>
      <c r="C54" t="s">
        <v>73</v>
      </c>
      <c r="D54" t="s">
        <v>107</v>
      </c>
      <c r="E54" t="s">
        <v>40</v>
      </c>
      <c r="F54" t="s">
        <v>83</v>
      </c>
      <c r="G54">
        <v>797144</v>
      </c>
    </row>
    <row r="55" spans="1:7" ht="15" x14ac:dyDescent="0.25">
      <c r="A55" t="s">
        <v>106</v>
      </c>
      <c r="B55" t="s">
        <v>24</v>
      </c>
      <c r="C55" t="s">
        <v>73</v>
      </c>
      <c r="D55" t="s">
        <v>107</v>
      </c>
      <c r="E55" t="s">
        <v>41</v>
      </c>
      <c r="F55" t="s">
        <v>87</v>
      </c>
      <c r="G55">
        <v>5778</v>
      </c>
    </row>
    <row r="56" spans="1:7" ht="15" x14ac:dyDescent="0.25">
      <c r="A56" t="s">
        <v>106</v>
      </c>
      <c r="B56" t="s">
        <v>24</v>
      </c>
      <c r="C56" t="s">
        <v>73</v>
      </c>
      <c r="D56" t="s">
        <v>107</v>
      </c>
      <c r="E56" t="s">
        <v>43</v>
      </c>
      <c r="F56" t="s">
        <v>85</v>
      </c>
      <c r="G56">
        <v>645058</v>
      </c>
    </row>
    <row r="57" spans="1:7" ht="15" x14ac:dyDescent="0.25">
      <c r="A57" t="s">
        <v>106</v>
      </c>
      <c r="B57" t="s">
        <v>24</v>
      </c>
      <c r="C57" t="s">
        <v>73</v>
      </c>
      <c r="D57" t="s">
        <v>107</v>
      </c>
      <c r="E57" t="s">
        <v>44</v>
      </c>
      <c r="F57" t="s">
        <v>86</v>
      </c>
      <c r="G57">
        <v>187817</v>
      </c>
    </row>
    <row r="58" spans="1:7" ht="15" x14ac:dyDescent="0.25">
      <c r="A58" t="s">
        <v>106</v>
      </c>
      <c r="B58" t="s">
        <v>26</v>
      </c>
      <c r="C58" t="s">
        <v>75</v>
      </c>
      <c r="D58" t="s">
        <v>107</v>
      </c>
      <c r="E58" t="s">
        <v>10</v>
      </c>
      <c r="F58" t="s">
        <v>61</v>
      </c>
      <c r="G58">
        <v>830558</v>
      </c>
    </row>
    <row r="59" spans="1:7" ht="15" x14ac:dyDescent="0.25">
      <c r="A59" t="s">
        <v>106</v>
      </c>
      <c r="B59" t="s">
        <v>26</v>
      </c>
      <c r="C59" t="s">
        <v>75</v>
      </c>
      <c r="D59" t="s">
        <v>107</v>
      </c>
      <c r="E59" t="s">
        <v>15</v>
      </c>
      <c r="F59" t="s">
        <v>65</v>
      </c>
      <c r="G59">
        <v>1546103</v>
      </c>
    </row>
    <row r="60" spans="1:7" ht="15" x14ac:dyDescent="0.25">
      <c r="A60" t="s">
        <v>106</v>
      </c>
      <c r="B60" t="s">
        <v>26</v>
      </c>
      <c r="C60" t="s">
        <v>75</v>
      </c>
      <c r="D60" t="s">
        <v>107</v>
      </c>
      <c r="E60" t="s">
        <v>16</v>
      </c>
      <c r="F60" t="s">
        <v>66</v>
      </c>
      <c r="G60">
        <v>9637196</v>
      </c>
    </row>
    <row r="61" spans="1:7" ht="15" x14ac:dyDescent="0.25">
      <c r="A61" t="s">
        <v>106</v>
      </c>
      <c r="B61" t="s">
        <v>26</v>
      </c>
      <c r="C61" t="s">
        <v>75</v>
      </c>
      <c r="D61" t="s">
        <v>107</v>
      </c>
      <c r="E61" t="s">
        <v>18</v>
      </c>
      <c r="F61" t="s">
        <v>67</v>
      </c>
      <c r="G61">
        <v>5201269</v>
      </c>
    </row>
    <row r="62" spans="1:7" ht="15" x14ac:dyDescent="0.25">
      <c r="A62" t="s">
        <v>106</v>
      </c>
      <c r="B62" t="s">
        <v>26</v>
      </c>
      <c r="C62" t="s">
        <v>75</v>
      </c>
      <c r="D62" t="s">
        <v>107</v>
      </c>
      <c r="E62" t="s">
        <v>20</v>
      </c>
      <c r="F62" t="s">
        <v>69</v>
      </c>
      <c r="G62">
        <v>4395146</v>
      </c>
    </row>
    <row r="63" spans="1:7" ht="15" x14ac:dyDescent="0.25">
      <c r="A63" t="s">
        <v>106</v>
      </c>
      <c r="B63" t="s">
        <v>26</v>
      </c>
      <c r="C63" t="s">
        <v>75</v>
      </c>
      <c r="D63" t="s">
        <v>107</v>
      </c>
      <c r="E63" t="s">
        <v>21</v>
      </c>
      <c r="F63" t="s">
        <v>70</v>
      </c>
      <c r="G63">
        <v>7740030</v>
      </c>
    </row>
    <row r="64" spans="1:7" ht="15" x14ac:dyDescent="0.25">
      <c r="A64" t="s">
        <v>106</v>
      </c>
      <c r="B64" t="s">
        <v>26</v>
      </c>
      <c r="C64" t="s">
        <v>75</v>
      </c>
      <c r="D64" t="s">
        <v>107</v>
      </c>
      <c r="E64" t="s">
        <v>22</v>
      </c>
      <c r="F64" t="s">
        <v>71</v>
      </c>
      <c r="G64">
        <v>5093816</v>
      </c>
    </row>
    <row r="65" spans="1:7" ht="15" x14ac:dyDescent="0.25">
      <c r="A65" t="s">
        <v>106</v>
      </c>
      <c r="B65" t="s">
        <v>26</v>
      </c>
      <c r="C65" t="s">
        <v>75</v>
      </c>
      <c r="D65" t="s">
        <v>107</v>
      </c>
      <c r="E65" t="s">
        <v>23</v>
      </c>
      <c r="F65" t="s">
        <v>72</v>
      </c>
      <c r="G65">
        <v>158217</v>
      </c>
    </row>
    <row r="66" spans="1:7" ht="15" x14ac:dyDescent="0.25">
      <c r="A66" t="s">
        <v>106</v>
      </c>
      <c r="B66" t="s">
        <v>26</v>
      </c>
      <c r="C66" t="s">
        <v>75</v>
      </c>
      <c r="D66" t="s">
        <v>107</v>
      </c>
      <c r="E66" t="s">
        <v>25</v>
      </c>
      <c r="F66" t="s">
        <v>74</v>
      </c>
      <c r="G66">
        <v>8760474</v>
      </c>
    </row>
    <row r="67" spans="1:7" ht="15" x14ac:dyDescent="0.25">
      <c r="A67" t="s">
        <v>106</v>
      </c>
      <c r="B67" t="s">
        <v>26</v>
      </c>
      <c r="C67" t="s">
        <v>75</v>
      </c>
      <c r="D67" t="s">
        <v>107</v>
      </c>
      <c r="E67" t="s">
        <v>34</v>
      </c>
      <c r="F67" t="s">
        <v>78</v>
      </c>
      <c r="G67">
        <v>2217245</v>
      </c>
    </row>
    <row r="68" spans="1:7" ht="15" x14ac:dyDescent="0.25">
      <c r="A68" t="s">
        <v>106</v>
      </c>
      <c r="B68" t="s">
        <v>26</v>
      </c>
      <c r="C68" t="s">
        <v>75</v>
      </c>
      <c r="D68" t="s">
        <v>107</v>
      </c>
      <c r="E68" t="s">
        <v>35</v>
      </c>
      <c r="F68" t="s">
        <v>79</v>
      </c>
      <c r="G68">
        <v>20889089</v>
      </c>
    </row>
    <row r="69" spans="1:7" ht="15" x14ac:dyDescent="0.25">
      <c r="A69" t="s">
        <v>106</v>
      </c>
      <c r="B69" t="s">
        <v>26</v>
      </c>
      <c r="C69" t="s">
        <v>75</v>
      </c>
      <c r="D69" t="s">
        <v>107</v>
      </c>
      <c r="E69" t="s">
        <v>38</v>
      </c>
      <c r="F69" t="s">
        <v>81</v>
      </c>
      <c r="G69">
        <v>3517361</v>
      </c>
    </row>
    <row r="70" spans="1:7" ht="15" x14ac:dyDescent="0.25">
      <c r="A70" t="s">
        <v>106</v>
      </c>
      <c r="B70" t="s">
        <v>26</v>
      </c>
      <c r="C70" t="s">
        <v>75</v>
      </c>
      <c r="D70" t="s">
        <v>107</v>
      </c>
      <c r="E70" t="s">
        <v>39</v>
      </c>
      <c r="F70" t="s">
        <v>82</v>
      </c>
      <c r="G70">
        <v>4374854</v>
      </c>
    </row>
    <row r="71" spans="1:7" ht="15" x14ac:dyDescent="0.25">
      <c r="A71" t="s">
        <v>106</v>
      </c>
      <c r="B71" t="s">
        <v>26</v>
      </c>
      <c r="C71" t="s">
        <v>75</v>
      </c>
      <c r="D71" t="s">
        <v>107</v>
      </c>
      <c r="E71" t="s">
        <v>40</v>
      </c>
      <c r="F71" t="s">
        <v>83</v>
      </c>
      <c r="G71">
        <v>3440078</v>
      </c>
    </row>
    <row r="72" spans="1:7" ht="15" x14ac:dyDescent="0.25">
      <c r="A72" t="s">
        <v>106</v>
      </c>
      <c r="B72" t="s">
        <v>26</v>
      </c>
      <c r="C72" t="s">
        <v>75</v>
      </c>
      <c r="D72" t="s">
        <v>107</v>
      </c>
      <c r="E72" t="s">
        <v>41</v>
      </c>
      <c r="F72" t="s">
        <v>87</v>
      </c>
      <c r="G72">
        <v>24936</v>
      </c>
    </row>
    <row r="73" spans="1:7" ht="15" x14ac:dyDescent="0.25">
      <c r="A73" t="s">
        <v>106</v>
      </c>
      <c r="B73" t="s">
        <v>26</v>
      </c>
      <c r="C73" t="s">
        <v>75</v>
      </c>
      <c r="D73" t="s">
        <v>107</v>
      </c>
      <c r="E73" t="s">
        <v>43</v>
      </c>
      <c r="F73" t="s">
        <v>85</v>
      </c>
      <c r="G73">
        <v>2783748</v>
      </c>
    </row>
    <row r="74" spans="1:7" ht="15" x14ac:dyDescent="0.25">
      <c r="A74" t="s">
        <v>106</v>
      </c>
      <c r="B74" t="s">
        <v>26</v>
      </c>
      <c r="C74" t="s">
        <v>75</v>
      </c>
      <c r="D74" t="s">
        <v>107</v>
      </c>
      <c r="E74" t="s">
        <v>44</v>
      </c>
      <c r="F74" t="s">
        <v>86</v>
      </c>
      <c r="G74">
        <v>810525</v>
      </c>
    </row>
    <row r="75" spans="1:7" ht="15" x14ac:dyDescent="0.25">
      <c r="A75" t="s">
        <v>106</v>
      </c>
      <c r="B75" t="s">
        <v>27</v>
      </c>
      <c r="C75" t="s">
        <v>76</v>
      </c>
      <c r="D75" t="s">
        <v>107</v>
      </c>
      <c r="E75" t="s">
        <v>10</v>
      </c>
      <c r="F75" t="s">
        <v>61</v>
      </c>
      <c r="G75">
        <v>150334</v>
      </c>
    </row>
    <row r="76" spans="1:7" ht="15" x14ac:dyDescent="0.25">
      <c r="A76" t="s">
        <v>106</v>
      </c>
      <c r="B76" t="s">
        <v>27</v>
      </c>
      <c r="C76" t="s">
        <v>76</v>
      </c>
      <c r="D76" t="s">
        <v>107</v>
      </c>
      <c r="E76" t="s">
        <v>15</v>
      </c>
      <c r="F76" t="s">
        <v>65</v>
      </c>
      <c r="G76">
        <v>279850</v>
      </c>
    </row>
    <row r="77" spans="1:7" ht="15" x14ac:dyDescent="0.25">
      <c r="A77" t="s">
        <v>106</v>
      </c>
      <c r="B77" t="s">
        <v>27</v>
      </c>
      <c r="C77" t="s">
        <v>76</v>
      </c>
      <c r="D77" t="s">
        <v>107</v>
      </c>
      <c r="E77" t="s">
        <v>16</v>
      </c>
      <c r="F77" t="s">
        <v>66</v>
      </c>
      <c r="G77">
        <v>1744366</v>
      </c>
    </row>
    <row r="78" spans="1:7" ht="15" x14ac:dyDescent="0.25">
      <c r="A78" t="s">
        <v>106</v>
      </c>
      <c r="B78" t="s">
        <v>27</v>
      </c>
      <c r="C78" t="s">
        <v>76</v>
      </c>
      <c r="D78" t="s">
        <v>107</v>
      </c>
      <c r="E78" t="s">
        <v>18</v>
      </c>
      <c r="F78" t="s">
        <v>67</v>
      </c>
      <c r="G78">
        <v>941448</v>
      </c>
    </row>
    <row r="79" spans="1:7" ht="15" x14ac:dyDescent="0.25">
      <c r="A79" t="s">
        <v>106</v>
      </c>
      <c r="B79" t="s">
        <v>27</v>
      </c>
      <c r="C79" t="s">
        <v>76</v>
      </c>
      <c r="D79" t="s">
        <v>107</v>
      </c>
      <c r="E79" t="s">
        <v>20</v>
      </c>
      <c r="F79" t="s">
        <v>69</v>
      </c>
      <c r="G79">
        <v>795537</v>
      </c>
    </row>
    <row r="80" spans="1:7" ht="15" x14ac:dyDescent="0.25">
      <c r="A80" t="s">
        <v>106</v>
      </c>
      <c r="B80" t="s">
        <v>27</v>
      </c>
      <c r="C80" t="s">
        <v>76</v>
      </c>
      <c r="D80" t="s">
        <v>107</v>
      </c>
      <c r="E80" t="s">
        <v>21</v>
      </c>
      <c r="F80" t="s">
        <v>70</v>
      </c>
      <c r="G80">
        <v>1400972</v>
      </c>
    </row>
    <row r="81" spans="1:7" ht="15" x14ac:dyDescent="0.25">
      <c r="A81" t="s">
        <v>106</v>
      </c>
      <c r="B81" t="s">
        <v>27</v>
      </c>
      <c r="C81" t="s">
        <v>76</v>
      </c>
      <c r="D81" t="s">
        <v>107</v>
      </c>
      <c r="E81" t="s">
        <v>22</v>
      </c>
      <c r="F81" t="s">
        <v>71</v>
      </c>
      <c r="G81">
        <v>921998</v>
      </c>
    </row>
    <row r="82" spans="1:7" ht="15" x14ac:dyDescent="0.25">
      <c r="A82" t="s">
        <v>106</v>
      </c>
      <c r="B82" t="s">
        <v>27</v>
      </c>
      <c r="C82" t="s">
        <v>76</v>
      </c>
      <c r="D82" t="s">
        <v>107</v>
      </c>
      <c r="E82" t="s">
        <v>23</v>
      </c>
      <c r="F82" t="s">
        <v>72</v>
      </c>
      <c r="G82">
        <v>28638</v>
      </c>
    </row>
    <row r="83" spans="1:7" ht="15" x14ac:dyDescent="0.25">
      <c r="A83" t="s">
        <v>106</v>
      </c>
      <c r="B83" t="s">
        <v>27</v>
      </c>
      <c r="C83" t="s">
        <v>76</v>
      </c>
      <c r="D83" t="s">
        <v>107</v>
      </c>
      <c r="E83" t="s">
        <v>25</v>
      </c>
      <c r="F83" t="s">
        <v>74</v>
      </c>
      <c r="G83">
        <v>1585676</v>
      </c>
    </row>
    <row r="84" spans="1:7" ht="15" x14ac:dyDescent="0.25">
      <c r="A84" t="s">
        <v>106</v>
      </c>
      <c r="B84" t="s">
        <v>27</v>
      </c>
      <c r="C84" t="s">
        <v>76</v>
      </c>
      <c r="D84" t="s">
        <v>107</v>
      </c>
      <c r="E84" t="s">
        <v>34</v>
      </c>
      <c r="F84" t="s">
        <v>78</v>
      </c>
      <c r="G84">
        <v>401329</v>
      </c>
    </row>
    <row r="85" spans="1:7" ht="15" x14ac:dyDescent="0.25">
      <c r="A85" t="s">
        <v>106</v>
      </c>
      <c r="B85" t="s">
        <v>27</v>
      </c>
      <c r="C85" t="s">
        <v>76</v>
      </c>
      <c r="D85" t="s">
        <v>107</v>
      </c>
      <c r="E85" t="s">
        <v>35</v>
      </c>
      <c r="F85" t="s">
        <v>79</v>
      </c>
      <c r="G85">
        <v>3780997</v>
      </c>
    </row>
    <row r="86" spans="1:7" ht="15" x14ac:dyDescent="0.25">
      <c r="A86" t="s">
        <v>106</v>
      </c>
      <c r="B86" t="s">
        <v>27</v>
      </c>
      <c r="C86" t="s">
        <v>76</v>
      </c>
      <c r="D86" t="s">
        <v>107</v>
      </c>
      <c r="E86" t="s">
        <v>38</v>
      </c>
      <c r="F86" t="s">
        <v>81</v>
      </c>
      <c r="G86">
        <v>636654</v>
      </c>
    </row>
    <row r="87" spans="1:7" ht="15" x14ac:dyDescent="0.25">
      <c r="A87" t="s">
        <v>106</v>
      </c>
      <c r="B87" t="s">
        <v>27</v>
      </c>
      <c r="C87" t="s">
        <v>76</v>
      </c>
      <c r="D87" t="s">
        <v>107</v>
      </c>
      <c r="E87" t="s">
        <v>39</v>
      </c>
      <c r="F87" t="s">
        <v>82</v>
      </c>
      <c r="G87">
        <v>791864</v>
      </c>
    </row>
    <row r="88" spans="1:7" ht="15" x14ac:dyDescent="0.25">
      <c r="A88" t="s">
        <v>106</v>
      </c>
      <c r="B88" t="s">
        <v>27</v>
      </c>
      <c r="C88" t="s">
        <v>76</v>
      </c>
      <c r="D88" t="s">
        <v>107</v>
      </c>
      <c r="E88" t="s">
        <v>40</v>
      </c>
      <c r="F88" t="s">
        <v>83</v>
      </c>
      <c r="G88">
        <v>622666</v>
      </c>
    </row>
    <row r="89" spans="1:7" ht="15" x14ac:dyDescent="0.25">
      <c r="A89" t="s">
        <v>106</v>
      </c>
      <c r="B89" t="s">
        <v>27</v>
      </c>
      <c r="C89" t="s">
        <v>76</v>
      </c>
      <c r="D89" t="s">
        <v>107</v>
      </c>
      <c r="E89" t="s">
        <v>41</v>
      </c>
      <c r="F89" t="s">
        <v>87</v>
      </c>
      <c r="G89">
        <v>4514</v>
      </c>
    </row>
    <row r="90" spans="1:7" ht="15" x14ac:dyDescent="0.25">
      <c r="A90" t="s">
        <v>106</v>
      </c>
      <c r="B90" t="s">
        <v>27</v>
      </c>
      <c r="C90" t="s">
        <v>76</v>
      </c>
      <c r="D90" t="s">
        <v>107</v>
      </c>
      <c r="E90" t="s">
        <v>43</v>
      </c>
      <c r="F90" t="s">
        <v>85</v>
      </c>
      <c r="G90">
        <v>503868</v>
      </c>
    </row>
    <row r="91" spans="1:7" ht="15" x14ac:dyDescent="0.25">
      <c r="A91" t="s">
        <v>106</v>
      </c>
      <c r="B91" t="s">
        <v>27</v>
      </c>
      <c r="C91" t="s">
        <v>76</v>
      </c>
      <c r="D91" t="s">
        <v>107</v>
      </c>
      <c r="E91" t="s">
        <v>44</v>
      </c>
      <c r="F91" t="s">
        <v>86</v>
      </c>
      <c r="G91">
        <v>146708</v>
      </c>
    </row>
    <row r="92" spans="1:7" ht="15" x14ac:dyDescent="0.25">
      <c r="A92" t="s">
        <v>106</v>
      </c>
      <c r="B92" t="s">
        <v>28</v>
      </c>
      <c r="C92" t="s">
        <v>77</v>
      </c>
      <c r="D92" t="s">
        <v>107</v>
      </c>
      <c r="E92" t="s">
        <v>10</v>
      </c>
      <c r="F92" t="s">
        <v>61</v>
      </c>
      <c r="G92">
        <v>621664</v>
      </c>
    </row>
    <row r="93" spans="1:7" ht="15" x14ac:dyDescent="0.25">
      <c r="A93" t="s">
        <v>106</v>
      </c>
      <c r="B93" t="s">
        <v>28</v>
      </c>
      <c r="C93" t="s">
        <v>77</v>
      </c>
      <c r="D93" t="s">
        <v>107</v>
      </c>
      <c r="E93" t="s">
        <v>15</v>
      </c>
      <c r="F93" t="s">
        <v>65</v>
      </c>
      <c r="G93">
        <v>1157242</v>
      </c>
    </row>
    <row r="94" spans="1:7" ht="15" x14ac:dyDescent="0.25">
      <c r="A94" t="s">
        <v>106</v>
      </c>
      <c r="B94" t="s">
        <v>28</v>
      </c>
      <c r="C94" t="s">
        <v>77</v>
      </c>
      <c r="D94" t="s">
        <v>107</v>
      </c>
      <c r="E94" t="s">
        <v>16</v>
      </c>
      <c r="F94" t="s">
        <v>66</v>
      </c>
      <c r="G94">
        <v>7213340</v>
      </c>
    </row>
    <row r="95" spans="1:7" ht="15" x14ac:dyDescent="0.25">
      <c r="A95" t="s">
        <v>106</v>
      </c>
      <c r="B95" t="s">
        <v>28</v>
      </c>
      <c r="C95" t="s">
        <v>77</v>
      </c>
      <c r="D95" t="s">
        <v>107</v>
      </c>
      <c r="E95" t="s">
        <v>18</v>
      </c>
      <c r="F95" t="s">
        <v>67</v>
      </c>
      <c r="G95">
        <v>3893095</v>
      </c>
    </row>
    <row r="96" spans="1:7" ht="15" x14ac:dyDescent="0.25">
      <c r="A96" t="s">
        <v>106</v>
      </c>
      <c r="B96" t="s">
        <v>28</v>
      </c>
      <c r="C96" t="s">
        <v>77</v>
      </c>
      <c r="D96" t="s">
        <v>107</v>
      </c>
      <c r="E96" t="s">
        <v>20</v>
      </c>
      <c r="F96" t="s">
        <v>69</v>
      </c>
      <c r="G96">
        <v>3289721</v>
      </c>
    </row>
    <row r="97" spans="1:7" ht="15" x14ac:dyDescent="0.25">
      <c r="A97" t="s">
        <v>106</v>
      </c>
      <c r="B97" t="s">
        <v>28</v>
      </c>
      <c r="C97" t="s">
        <v>77</v>
      </c>
      <c r="D97" t="s">
        <v>107</v>
      </c>
      <c r="E97" t="s">
        <v>21</v>
      </c>
      <c r="F97" t="s">
        <v>70</v>
      </c>
      <c r="G97">
        <v>5793332</v>
      </c>
    </row>
    <row r="98" spans="1:7" ht="15" x14ac:dyDescent="0.25">
      <c r="A98" t="s">
        <v>106</v>
      </c>
      <c r="B98" t="s">
        <v>28</v>
      </c>
      <c r="C98" t="s">
        <v>77</v>
      </c>
      <c r="D98" t="s">
        <v>107</v>
      </c>
      <c r="E98" t="s">
        <v>22</v>
      </c>
      <c r="F98" t="s">
        <v>71</v>
      </c>
      <c r="G98">
        <v>3812668</v>
      </c>
    </row>
    <row r="99" spans="1:7" ht="15" x14ac:dyDescent="0.25">
      <c r="A99" t="s">
        <v>106</v>
      </c>
      <c r="B99" t="s">
        <v>28</v>
      </c>
      <c r="C99" t="s">
        <v>77</v>
      </c>
      <c r="D99" t="s">
        <v>107</v>
      </c>
      <c r="E99" t="s">
        <v>23</v>
      </c>
      <c r="F99" t="s">
        <v>72</v>
      </c>
      <c r="G99">
        <v>118424</v>
      </c>
    </row>
    <row r="100" spans="1:7" ht="15" x14ac:dyDescent="0.25">
      <c r="A100" t="s">
        <v>106</v>
      </c>
      <c r="B100" t="s">
        <v>28</v>
      </c>
      <c r="C100" t="s">
        <v>77</v>
      </c>
      <c r="D100" t="s">
        <v>107</v>
      </c>
      <c r="E100" t="s">
        <v>25</v>
      </c>
      <c r="F100" t="s">
        <v>74</v>
      </c>
      <c r="G100">
        <v>6557123</v>
      </c>
    </row>
    <row r="101" spans="1:7" ht="15" x14ac:dyDescent="0.25">
      <c r="A101" t="s">
        <v>106</v>
      </c>
      <c r="B101" t="s">
        <v>28</v>
      </c>
      <c r="C101" t="s">
        <v>77</v>
      </c>
      <c r="D101" t="s">
        <v>107</v>
      </c>
      <c r="E101" t="s">
        <v>34</v>
      </c>
      <c r="F101" t="s">
        <v>78</v>
      </c>
      <c r="G101">
        <v>1659585</v>
      </c>
    </row>
    <row r="102" spans="1:7" ht="15" x14ac:dyDescent="0.25">
      <c r="A102" t="s">
        <v>106</v>
      </c>
      <c r="B102" t="s">
        <v>28</v>
      </c>
      <c r="C102" t="s">
        <v>77</v>
      </c>
      <c r="D102" t="s">
        <v>107</v>
      </c>
      <c r="E102" t="s">
        <v>35</v>
      </c>
      <c r="F102" t="s">
        <v>79</v>
      </c>
      <c r="G102">
        <v>15635264</v>
      </c>
    </row>
    <row r="103" spans="1:7" ht="15" x14ac:dyDescent="0.25">
      <c r="A103" t="s">
        <v>106</v>
      </c>
      <c r="B103" t="s">
        <v>28</v>
      </c>
      <c r="C103" t="s">
        <v>77</v>
      </c>
      <c r="D103" t="s">
        <v>107</v>
      </c>
      <c r="E103" t="s">
        <v>38</v>
      </c>
      <c r="F103" t="s">
        <v>81</v>
      </c>
      <c r="G103">
        <v>2632708</v>
      </c>
    </row>
    <row r="104" spans="1:7" ht="15" x14ac:dyDescent="0.25">
      <c r="A104" t="s">
        <v>106</v>
      </c>
      <c r="B104" t="s">
        <v>28</v>
      </c>
      <c r="C104" t="s">
        <v>77</v>
      </c>
      <c r="D104" t="s">
        <v>107</v>
      </c>
      <c r="E104" t="s">
        <v>39</v>
      </c>
      <c r="F104" t="s">
        <v>82</v>
      </c>
      <c r="G104">
        <v>3274532</v>
      </c>
    </row>
    <row r="105" spans="1:7" ht="15" x14ac:dyDescent="0.25">
      <c r="A105" t="s">
        <v>106</v>
      </c>
      <c r="B105" t="s">
        <v>28</v>
      </c>
      <c r="C105" t="s">
        <v>77</v>
      </c>
      <c r="D105" t="s">
        <v>107</v>
      </c>
      <c r="E105" t="s">
        <v>40</v>
      </c>
      <c r="F105" t="s">
        <v>83</v>
      </c>
      <c r="G105">
        <v>2574863</v>
      </c>
    </row>
    <row r="106" spans="1:7" ht="15" x14ac:dyDescent="0.25">
      <c r="A106" t="s">
        <v>106</v>
      </c>
      <c r="B106" t="s">
        <v>28</v>
      </c>
      <c r="C106" t="s">
        <v>77</v>
      </c>
      <c r="D106" t="s">
        <v>107</v>
      </c>
      <c r="E106" t="s">
        <v>41</v>
      </c>
      <c r="F106" t="s">
        <v>87</v>
      </c>
      <c r="G106">
        <v>18665</v>
      </c>
    </row>
    <row r="107" spans="1:7" ht="15" x14ac:dyDescent="0.25">
      <c r="A107" t="s">
        <v>106</v>
      </c>
      <c r="B107" t="s">
        <v>28</v>
      </c>
      <c r="C107" t="s">
        <v>77</v>
      </c>
      <c r="D107" t="s">
        <v>107</v>
      </c>
      <c r="E107" t="s">
        <v>43</v>
      </c>
      <c r="F107" t="s">
        <v>85</v>
      </c>
      <c r="G107">
        <v>2083606</v>
      </c>
    </row>
    <row r="108" spans="1:7" ht="15" x14ac:dyDescent="0.25">
      <c r="A108" t="s">
        <v>106</v>
      </c>
      <c r="B108" t="s">
        <v>28</v>
      </c>
      <c r="C108" t="s">
        <v>77</v>
      </c>
      <c r="D108" t="s">
        <v>107</v>
      </c>
      <c r="E108" t="s">
        <v>44</v>
      </c>
      <c r="F108" t="s">
        <v>86</v>
      </c>
      <c r="G108">
        <v>606669</v>
      </c>
    </row>
    <row r="109" spans="1:7" ht="15" x14ac:dyDescent="0.25">
      <c r="A109" t="s">
        <v>106</v>
      </c>
      <c r="B109" t="s">
        <v>13</v>
      </c>
      <c r="C109" t="s">
        <v>63</v>
      </c>
      <c r="D109" t="s">
        <v>107</v>
      </c>
      <c r="E109" t="s">
        <v>10</v>
      </c>
      <c r="F109" t="s">
        <v>61</v>
      </c>
      <c r="G109">
        <v>26276482</v>
      </c>
    </row>
    <row r="110" spans="1:7" ht="15" x14ac:dyDescent="0.25">
      <c r="A110" t="s">
        <v>106</v>
      </c>
      <c r="B110" t="s">
        <v>13</v>
      </c>
      <c r="C110" t="s">
        <v>63</v>
      </c>
      <c r="D110" t="s">
        <v>107</v>
      </c>
      <c r="E110" t="s">
        <v>15</v>
      </c>
      <c r="F110" t="s">
        <v>65</v>
      </c>
      <c r="G110">
        <v>48914312</v>
      </c>
    </row>
    <row r="111" spans="1:7" ht="15" x14ac:dyDescent="0.25">
      <c r="A111" t="s">
        <v>106</v>
      </c>
      <c r="B111" t="s">
        <v>13</v>
      </c>
      <c r="C111" t="s">
        <v>63</v>
      </c>
      <c r="D111" t="s">
        <v>107</v>
      </c>
      <c r="E111" t="s">
        <v>16</v>
      </c>
      <c r="F111" t="s">
        <v>66</v>
      </c>
      <c r="G111">
        <v>304893476</v>
      </c>
    </row>
    <row r="112" spans="1:7" ht="15" x14ac:dyDescent="0.25">
      <c r="A112" t="s">
        <v>106</v>
      </c>
      <c r="B112" t="s">
        <v>13</v>
      </c>
      <c r="C112" t="s">
        <v>63</v>
      </c>
      <c r="D112" t="s">
        <v>107</v>
      </c>
      <c r="E112" t="s">
        <v>18</v>
      </c>
      <c r="F112" t="s">
        <v>67</v>
      </c>
      <c r="G112">
        <v>164553351</v>
      </c>
    </row>
    <row r="113" spans="1:7" ht="15" x14ac:dyDescent="0.25">
      <c r="A113" t="s">
        <v>106</v>
      </c>
      <c r="B113" t="s">
        <v>13</v>
      </c>
      <c r="C113" t="s">
        <v>63</v>
      </c>
      <c r="D113" t="s">
        <v>107</v>
      </c>
      <c r="E113" t="s">
        <v>20</v>
      </c>
      <c r="F113" t="s">
        <v>69</v>
      </c>
      <c r="G113">
        <v>139049920</v>
      </c>
    </row>
    <row r="114" spans="1:7" ht="15" x14ac:dyDescent="0.25">
      <c r="A114" t="s">
        <v>106</v>
      </c>
      <c r="B114" t="s">
        <v>13</v>
      </c>
      <c r="C114" t="s">
        <v>63</v>
      </c>
      <c r="D114" t="s">
        <v>107</v>
      </c>
      <c r="E114" t="s">
        <v>21</v>
      </c>
      <c r="F114" t="s">
        <v>70</v>
      </c>
      <c r="G114">
        <v>244872550</v>
      </c>
    </row>
    <row r="115" spans="1:7" ht="15" x14ac:dyDescent="0.25">
      <c r="A115" t="s">
        <v>106</v>
      </c>
      <c r="B115" t="s">
        <v>13</v>
      </c>
      <c r="C115" t="s">
        <v>63</v>
      </c>
      <c r="D115" t="s">
        <v>107</v>
      </c>
      <c r="E115" t="s">
        <v>22</v>
      </c>
      <c r="F115" t="s">
        <v>71</v>
      </c>
      <c r="G115">
        <v>161153836</v>
      </c>
    </row>
    <row r="116" spans="1:7" ht="15" x14ac:dyDescent="0.25">
      <c r="A116" t="s">
        <v>106</v>
      </c>
      <c r="B116" t="s">
        <v>13</v>
      </c>
      <c r="C116" t="s">
        <v>63</v>
      </c>
      <c r="D116" t="s">
        <v>107</v>
      </c>
      <c r="E116" t="s">
        <v>23</v>
      </c>
      <c r="F116" t="s">
        <v>72</v>
      </c>
      <c r="G116">
        <v>5005548</v>
      </c>
    </row>
    <row r="117" spans="1:7" ht="15" x14ac:dyDescent="0.25">
      <c r="A117" t="s">
        <v>106</v>
      </c>
      <c r="B117" t="s">
        <v>13</v>
      </c>
      <c r="C117" t="s">
        <v>63</v>
      </c>
      <c r="D117" t="s">
        <v>107</v>
      </c>
      <c r="E117" t="s">
        <v>25</v>
      </c>
      <c r="F117" t="s">
        <v>74</v>
      </c>
      <c r="G117">
        <v>277156493</v>
      </c>
    </row>
    <row r="118" spans="1:7" ht="15" x14ac:dyDescent="0.25">
      <c r="A118" t="s">
        <v>106</v>
      </c>
      <c r="B118" t="s">
        <v>13</v>
      </c>
      <c r="C118" t="s">
        <v>63</v>
      </c>
      <c r="D118" t="s">
        <v>107</v>
      </c>
      <c r="E118" t="s">
        <v>34</v>
      </c>
      <c r="F118" t="s">
        <v>78</v>
      </c>
      <c r="G118">
        <v>70147325</v>
      </c>
    </row>
    <row r="119" spans="1:7" ht="15" x14ac:dyDescent="0.25">
      <c r="A119" t="s">
        <v>106</v>
      </c>
      <c r="B119" t="s">
        <v>13</v>
      </c>
      <c r="C119" t="s">
        <v>63</v>
      </c>
      <c r="D119" t="s">
        <v>107</v>
      </c>
      <c r="E119" t="s">
        <v>35</v>
      </c>
      <c r="F119" t="s">
        <v>79</v>
      </c>
      <c r="G119">
        <v>660871359</v>
      </c>
    </row>
    <row r="120" spans="1:7" ht="15" x14ac:dyDescent="0.25">
      <c r="A120" t="s">
        <v>106</v>
      </c>
      <c r="B120" t="s">
        <v>13</v>
      </c>
      <c r="C120" t="s">
        <v>63</v>
      </c>
      <c r="D120" t="s">
        <v>107</v>
      </c>
      <c r="E120" t="s">
        <v>38</v>
      </c>
      <c r="F120" t="s">
        <v>81</v>
      </c>
      <c r="G120">
        <v>111279285</v>
      </c>
    </row>
    <row r="121" spans="1:7" ht="15" x14ac:dyDescent="0.25">
      <c r="A121" t="s">
        <v>106</v>
      </c>
      <c r="B121" t="s">
        <v>13</v>
      </c>
      <c r="C121" t="s">
        <v>63</v>
      </c>
      <c r="D121" t="s">
        <v>107</v>
      </c>
      <c r="E121" t="s">
        <v>39</v>
      </c>
      <c r="F121" t="s">
        <v>82</v>
      </c>
      <c r="G121">
        <v>138407934</v>
      </c>
    </row>
    <row r="122" spans="1:7" ht="15" x14ac:dyDescent="0.25">
      <c r="A122" t="s">
        <v>106</v>
      </c>
      <c r="B122" t="s">
        <v>13</v>
      </c>
      <c r="C122" t="s">
        <v>63</v>
      </c>
      <c r="D122" t="s">
        <v>107</v>
      </c>
      <c r="E122" t="s">
        <v>40</v>
      </c>
      <c r="F122" t="s">
        <v>83</v>
      </c>
      <c r="G122">
        <v>108834300</v>
      </c>
    </row>
    <row r="123" spans="1:7" ht="15" x14ac:dyDescent="0.25">
      <c r="A123" t="s">
        <v>106</v>
      </c>
      <c r="B123" t="s">
        <v>13</v>
      </c>
      <c r="C123" t="s">
        <v>63</v>
      </c>
      <c r="D123" t="s">
        <v>107</v>
      </c>
      <c r="E123" t="s">
        <v>41</v>
      </c>
      <c r="F123" t="s">
        <v>87</v>
      </c>
      <c r="G123">
        <v>788912</v>
      </c>
    </row>
    <row r="124" spans="1:7" ht="15" x14ac:dyDescent="0.25">
      <c r="A124" t="s">
        <v>106</v>
      </c>
      <c r="B124" t="s">
        <v>13</v>
      </c>
      <c r="C124" t="s">
        <v>63</v>
      </c>
      <c r="D124" t="s">
        <v>107</v>
      </c>
      <c r="E124" t="s">
        <v>43</v>
      </c>
      <c r="F124" t="s">
        <v>85</v>
      </c>
      <c r="G124">
        <v>88069874</v>
      </c>
    </row>
    <row r="125" spans="1:7" ht="15" x14ac:dyDescent="0.25">
      <c r="A125" t="s">
        <v>106</v>
      </c>
      <c r="B125" t="s">
        <v>13</v>
      </c>
      <c r="C125" t="s">
        <v>63</v>
      </c>
      <c r="D125" t="s">
        <v>107</v>
      </c>
      <c r="E125" t="s">
        <v>44</v>
      </c>
      <c r="F125" t="s">
        <v>86</v>
      </c>
      <c r="G125">
        <v>25642699</v>
      </c>
    </row>
    <row r="126" spans="1:7" ht="15" x14ac:dyDescent="0.25">
      <c r="A126" t="s">
        <v>106</v>
      </c>
      <c r="B126" t="s">
        <v>36</v>
      </c>
      <c r="C126" t="s">
        <v>80</v>
      </c>
      <c r="D126" t="s">
        <v>107</v>
      </c>
      <c r="E126" t="s">
        <v>10</v>
      </c>
      <c r="F126" t="s">
        <v>61</v>
      </c>
      <c r="G126">
        <v>143367</v>
      </c>
    </row>
    <row r="127" spans="1:7" ht="15" x14ac:dyDescent="0.25">
      <c r="A127" t="s">
        <v>106</v>
      </c>
      <c r="B127" t="s">
        <v>36</v>
      </c>
      <c r="C127" t="s">
        <v>80</v>
      </c>
      <c r="D127" t="s">
        <v>107</v>
      </c>
      <c r="E127" t="s">
        <v>15</v>
      </c>
      <c r="F127" t="s">
        <v>65</v>
      </c>
      <c r="G127">
        <v>266880</v>
      </c>
    </row>
    <row r="128" spans="1:7" ht="15" x14ac:dyDescent="0.25">
      <c r="A128" t="s">
        <v>106</v>
      </c>
      <c r="B128" t="s">
        <v>36</v>
      </c>
      <c r="C128" t="s">
        <v>80</v>
      </c>
      <c r="D128" t="s">
        <v>107</v>
      </c>
      <c r="E128" t="s">
        <v>16</v>
      </c>
      <c r="F128" t="s">
        <v>66</v>
      </c>
      <c r="G128">
        <v>1663523</v>
      </c>
    </row>
    <row r="129" spans="1:7" ht="15" x14ac:dyDescent="0.25">
      <c r="A129" t="s">
        <v>106</v>
      </c>
      <c r="B129" t="s">
        <v>36</v>
      </c>
      <c r="C129" t="s">
        <v>80</v>
      </c>
      <c r="D129" t="s">
        <v>107</v>
      </c>
      <c r="E129" t="s">
        <v>18</v>
      </c>
      <c r="F129" t="s">
        <v>67</v>
      </c>
      <c r="G129">
        <v>897816</v>
      </c>
    </row>
    <row r="130" spans="1:7" ht="15" x14ac:dyDescent="0.25">
      <c r="A130" t="s">
        <v>106</v>
      </c>
      <c r="B130" t="s">
        <v>36</v>
      </c>
      <c r="C130" t="s">
        <v>80</v>
      </c>
      <c r="D130" t="s">
        <v>107</v>
      </c>
      <c r="E130" t="s">
        <v>20</v>
      </c>
      <c r="F130" t="s">
        <v>69</v>
      </c>
      <c r="G130">
        <v>758667</v>
      </c>
    </row>
    <row r="131" spans="1:7" ht="15" x14ac:dyDescent="0.25">
      <c r="A131" t="s">
        <v>106</v>
      </c>
      <c r="B131" t="s">
        <v>36</v>
      </c>
      <c r="C131" t="s">
        <v>80</v>
      </c>
      <c r="D131" t="s">
        <v>107</v>
      </c>
      <c r="E131" t="s">
        <v>21</v>
      </c>
      <c r="F131" t="s">
        <v>70</v>
      </c>
      <c r="G131">
        <v>1336044</v>
      </c>
    </row>
    <row r="132" spans="1:7" ht="15" x14ac:dyDescent="0.25">
      <c r="A132" t="s">
        <v>106</v>
      </c>
      <c r="B132" t="s">
        <v>36</v>
      </c>
      <c r="C132" t="s">
        <v>80</v>
      </c>
      <c r="D132" t="s">
        <v>107</v>
      </c>
      <c r="E132" t="s">
        <v>22</v>
      </c>
      <c r="F132" t="s">
        <v>71</v>
      </c>
      <c r="G132">
        <v>879268</v>
      </c>
    </row>
    <row r="133" spans="1:7" ht="15" x14ac:dyDescent="0.25">
      <c r="A133" t="s">
        <v>106</v>
      </c>
      <c r="B133" t="s">
        <v>36</v>
      </c>
      <c r="C133" t="s">
        <v>80</v>
      </c>
      <c r="D133" t="s">
        <v>107</v>
      </c>
      <c r="E133" t="s">
        <v>23</v>
      </c>
      <c r="F133" t="s">
        <v>72</v>
      </c>
      <c r="G133">
        <v>27311</v>
      </c>
    </row>
    <row r="134" spans="1:7" ht="15" x14ac:dyDescent="0.25">
      <c r="A134" t="s">
        <v>106</v>
      </c>
      <c r="B134" t="s">
        <v>36</v>
      </c>
      <c r="C134" t="s">
        <v>80</v>
      </c>
      <c r="D134" t="s">
        <v>107</v>
      </c>
      <c r="E134" t="s">
        <v>25</v>
      </c>
      <c r="F134" t="s">
        <v>74</v>
      </c>
      <c r="G134">
        <v>1512188</v>
      </c>
    </row>
    <row r="135" spans="1:7" ht="15" x14ac:dyDescent="0.25">
      <c r="A135" t="s">
        <v>106</v>
      </c>
      <c r="B135" t="s">
        <v>36</v>
      </c>
      <c r="C135" t="s">
        <v>80</v>
      </c>
      <c r="D135" t="s">
        <v>107</v>
      </c>
      <c r="E135" t="s">
        <v>34</v>
      </c>
      <c r="F135" t="s">
        <v>78</v>
      </c>
      <c r="G135">
        <v>382729</v>
      </c>
    </row>
    <row r="136" spans="1:7" ht="15" x14ac:dyDescent="0.25">
      <c r="A136" t="s">
        <v>106</v>
      </c>
      <c r="B136" t="s">
        <v>36</v>
      </c>
      <c r="C136" t="s">
        <v>80</v>
      </c>
      <c r="D136" t="s">
        <v>107</v>
      </c>
      <c r="E136" t="s">
        <v>35</v>
      </c>
      <c r="F136" t="s">
        <v>79</v>
      </c>
      <c r="G136">
        <v>3605767</v>
      </c>
    </row>
    <row r="137" spans="1:7" ht="15" x14ac:dyDescent="0.25">
      <c r="A137" t="s">
        <v>106</v>
      </c>
      <c r="B137" t="s">
        <v>36</v>
      </c>
      <c r="C137" t="s">
        <v>80</v>
      </c>
      <c r="D137" t="s">
        <v>107</v>
      </c>
      <c r="E137" t="s">
        <v>38</v>
      </c>
      <c r="F137" t="s">
        <v>81</v>
      </c>
      <c r="G137">
        <v>607149</v>
      </c>
    </row>
    <row r="138" spans="1:7" ht="15" x14ac:dyDescent="0.25">
      <c r="A138" t="s">
        <v>106</v>
      </c>
      <c r="B138" t="s">
        <v>36</v>
      </c>
      <c r="C138" t="s">
        <v>80</v>
      </c>
      <c r="D138" t="s">
        <v>107</v>
      </c>
      <c r="E138" t="s">
        <v>39</v>
      </c>
      <c r="F138" t="s">
        <v>82</v>
      </c>
      <c r="G138">
        <v>755165</v>
      </c>
    </row>
    <row r="139" spans="1:7" ht="15" x14ac:dyDescent="0.25">
      <c r="A139" t="s">
        <v>106</v>
      </c>
      <c r="B139" t="s">
        <v>36</v>
      </c>
      <c r="C139" t="s">
        <v>80</v>
      </c>
      <c r="D139" t="s">
        <v>107</v>
      </c>
      <c r="E139" t="s">
        <v>40</v>
      </c>
      <c r="F139" t="s">
        <v>83</v>
      </c>
      <c r="G139">
        <v>593809</v>
      </c>
    </row>
    <row r="140" spans="1:7" ht="15" x14ac:dyDescent="0.25">
      <c r="A140" t="s">
        <v>106</v>
      </c>
      <c r="B140" t="s">
        <v>36</v>
      </c>
      <c r="C140" t="s">
        <v>80</v>
      </c>
      <c r="D140" t="s">
        <v>107</v>
      </c>
      <c r="E140" t="s">
        <v>41</v>
      </c>
      <c r="F140" t="s">
        <v>87</v>
      </c>
      <c r="G140">
        <v>4304</v>
      </c>
    </row>
    <row r="141" spans="1:7" ht="15" x14ac:dyDescent="0.25">
      <c r="A141" t="s">
        <v>106</v>
      </c>
      <c r="B141" t="s">
        <v>36</v>
      </c>
      <c r="C141" t="s">
        <v>80</v>
      </c>
      <c r="D141" t="s">
        <v>107</v>
      </c>
      <c r="E141" t="s">
        <v>43</v>
      </c>
      <c r="F141" t="s">
        <v>85</v>
      </c>
      <c r="G141">
        <v>480516</v>
      </c>
    </row>
    <row r="142" spans="1:7" ht="15" x14ac:dyDescent="0.25">
      <c r="A142" t="s">
        <v>106</v>
      </c>
      <c r="B142" t="s">
        <v>36</v>
      </c>
      <c r="C142" t="s">
        <v>80</v>
      </c>
      <c r="D142" t="s">
        <v>107</v>
      </c>
      <c r="E142" t="s">
        <v>44</v>
      </c>
      <c r="F142" t="s">
        <v>86</v>
      </c>
      <c r="G142">
        <v>139909</v>
      </c>
    </row>
    <row r="143" spans="1:7" ht="15" x14ac:dyDescent="0.25">
      <c r="A143" t="s">
        <v>106</v>
      </c>
      <c r="B143" t="s">
        <v>42</v>
      </c>
      <c r="C143" t="s">
        <v>84</v>
      </c>
      <c r="D143" t="s">
        <v>107</v>
      </c>
      <c r="E143" t="s">
        <v>10</v>
      </c>
      <c r="F143" t="s">
        <v>61</v>
      </c>
      <c r="G143">
        <v>2783123</v>
      </c>
    </row>
    <row r="144" spans="1:7" ht="15" x14ac:dyDescent="0.25">
      <c r="A144" t="s">
        <v>106</v>
      </c>
      <c r="B144" t="s">
        <v>42</v>
      </c>
      <c r="C144" t="s">
        <v>84</v>
      </c>
      <c r="D144" t="s">
        <v>107</v>
      </c>
      <c r="E144" t="s">
        <v>15</v>
      </c>
      <c r="F144" t="s">
        <v>65</v>
      </c>
      <c r="G144">
        <v>5180852</v>
      </c>
    </row>
    <row r="145" spans="1:7" ht="15" x14ac:dyDescent="0.25">
      <c r="A145" t="s">
        <v>106</v>
      </c>
      <c r="B145" t="s">
        <v>42</v>
      </c>
      <c r="C145" t="s">
        <v>84</v>
      </c>
      <c r="D145" t="s">
        <v>107</v>
      </c>
      <c r="E145" t="s">
        <v>16</v>
      </c>
      <c r="F145" t="s">
        <v>66</v>
      </c>
      <c r="G145">
        <v>32293372</v>
      </c>
    </row>
    <row r="146" spans="1:7" ht="15" x14ac:dyDescent="0.25">
      <c r="A146" t="s">
        <v>106</v>
      </c>
      <c r="B146" t="s">
        <v>42</v>
      </c>
      <c r="C146" t="s">
        <v>84</v>
      </c>
      <c r="D146" t="s">
        <v>107</v>
      </c>
      <c r="E146" t="s">
        <v>18</v>
      </c>
      <c r="F146" t="s">
        <v>67</v>
      </c>
      <c r="G146">
        <v>17428981</v>
      </c>
    </row>
    <row r="147" spans="1:7" ht="15" x14ac:dyDescent="0.25">
      <c r="A147" t="s">
        <v>106</v>
      </c>
      <c r="B147" t="s">
        <v>42</v>
      </c>
      <c r="C147" t="s">
        <v>84</v>
      </c>
      <c r="D147" t="s">
        <v>107</v>
      </c>
      <c r="E147" t="s">
        <v>20</v>
      </c>
      <c r="F147" t="s">
        <v>69</v>
      </c>
      <c r="G147">
        <v>14727736</v>
      </c>
    </row>
    <row r="148" spans="1:7" ht="15" x14ac:dyDescent="0.25">
      <c r="A148" t="s">
        <v>106</v>
      </c>
      <c r="B148" t="s">
        <v>42</v>
      </c>
      <c r="C148" t="s">
        <v>84</v>
      </c>
      <c r="D148" t="s">
        <v>107</v>
      </c>
      <c r="E148" t="s">
        <v>21</v>
      </c>
      <c r="F148" t="s">
        <v>70</v>
      </c>
      <c r="G148">
        <v>25936141</v>
      </c>
    </row>
    <row r="149" spans="1:7" ht="15" x14ac:dyDescent="0.25">
      <c r="A149" t="s">
        <v>106</v>
      </c>
      <c r="B149" t="s">
        <v>42</v>
      </c>
      <c r="C149" t="s">
        <v>84</v>
      </c>
      <c r="D149" t="s">
        <v>107</v>
      </c>
      <c r="E149" t="s">
        <v>22</v>
      </c>
      <c r="F149" t="s">
        <v>71</v>
      </c>
      <c r="G149">
        <v>17068915</v>
      </c>
    </row>
    <row r="150" spans="1:7" ht="15" x14ac:dyDescent="0.25">
      <c r="A150" t="s">
        <v>106</v>
      </c>
      <c r="B150" t="s">
        <v>42</v>
      </c>
      <c r="C150" t="s">
        <v>84</v>
      </c>
      <c r="D150" t="s">
        <v>107</v>
      </c>
      <c r="E150" t="s">
        <v>23</v>
      </c>
      <c r="F150" t="s">
        <v>72</v>
      </c>
      <c r="G150">
        <v>530172</v>
      </c>
    </row>
    <row r="151" spans="1:7" ht="15" x14ac:dyDescent="0.25">
      <c r="A151" t="s">
        <v>106</v>
      </c>
      <c r="B151" t="s">
        <v>42</v>
      </c>
      <c r="C151" t="s">
        <v>84</v>
      </c>
      <c r="D151" t="s">
        <v>107</v>
      </c>
      <c r="E151" t="s">
        <v>25</v>
      </c>
      <c r="F151" t="s">
        <v>74</v>
      </c>
      <c r="G151">
        <v>29355556</v>
      </c>
    </row>
    <row r="152" spans="1:7" ht="15" x14ac:dyDescent="0.25">
      <c r="A152" t="s">
        <v>106</v>
      </c>
      <c r="B152" t="s">
        <v>42</v>
      </c>
      <c r="C152" t="s">
        <v>84</v>
      </c>
      <c r="D152" t="s">
        <v>107</v>
      </c>
      <c r="E152" t="s">
        <v>34</v>
      </c>
      <c r="F152" t="s">
        <v>78</v>
      </c>
      <c r="G152">
        <v>7429787</v>
      </c>
    </row>
    <row r="153" spans="1:7" ht="15" x14ac:dyDescent="0.25">
      <c r="A153" t="s">
        <v>106</v>
      </c>
      <c r="B153" t="s">
        <v>42</v>
      </c>
      <c r="C153" t="s">
        <v>84</v>
      </c>
      <c r="D153" t="s">
        <v>107</v>
      </c>
      <c r="E153" t="s">
        <v>35</v>
      </c>
      <c r="F153" t="s">
        <v>79</v>
      </c>
      <c r="G153">
        <v>69997445</v>
      </c>
    </row>
    <row r="154" spans="1:7" ht="15" x14ac:dyDescent="0.25">
      <c r="A154" t="s">
        <v>106</v>
      </c>
      <c r="B154" t="s">
        <v>42</v>
      </c>
      <c r="C154" t="s">
        <v>84</v>
      </c>
      <c r="D154" t="s">
        <v>107</v>
      </c>
      <c r="E154" t="s">
        <v>38</v>
      </c>
      <c r="F154" t="s">
        <v>81</v>
      </c>
      <c r="G154">
        <v>11786357</v>
      </c>
    </row>
    <row r="155" spans="1:7" ht="15" x14ac:dyDescent="0.25">
      <c r="A155" t="s">
        <v>106</v>
      </c>
      <c r="B155" t="s">
        <v>42</v>
      </c>
      <c r="C155" t="s">
        <v>84</v>
      </c>
      <c r="D155" t="s">
        <v>107</v>
      </c>
      <c r="E155" t="s">
        <v>39</v>
      </c>
      <c r="F155" t="s">
        <v>82</v>
      </c>
      <c r="G155">
        <v>14659739</v>
      </c>
    </row>
    <row r="156" spans="1:7" ht="15" x14ac:dyDescent="0.25">
      <c r="A156" t="s">
        <v>106</v>
      </c>
      <c r="B156" t="s">
        <v>42</v>
      </c>
      <c r="C156" t="s">
        <v>84</v>
      </c>
      <c r="D156" t="s">
        <v>107</v>
      </c>
      <c r="E156" t="s">
        <v>40</v>
      </c>
      <c r="F156" t="s">
        <v>83</v>
      </c>
      <c r="G156">
        <v>11527392</v>
      </c>
    </row>
    <row r="157" spans="1:7" ht="15" x14ac:dyDescent="0.25">
      <c r="A157" t="s">
        <v>106</v>
      </c>
      <c r="B157" t="s">
        <v>42</v>
      </c>
      <c r="C157" t="s">
        <v>84</v>
      </c>
      <c r="D157" t="s">
        <v>107</v>
      </c>
      <c r="E157" t="s">
        <v>41</v>
      </c>
      <c r="F157" t="s">
        <v>87</v>
      </c>
      <c r="G157">
        <v>83559</v>
      </c>
    </row>
    <row r="158" spans="1:7" ht="15" x14ac:dyDescent="0.25">
      <c r="A158" t="s">
        <v>106</v>
      </c>
      <c r="B158" t="s">
        <v>42</v>
      </c>
      <c r="C158" t="s">
        <v>84</v>
      </c>
      <c r="D158" t="s">
        <v>107</v>
      </c>
      <c r="E158" t="s">
        <v>43</v>
      </c>
      <c r="F158" t="s">
        <v>85</v>
      </c>
      <c r="G158">
        <v>9328088</v>
      </c>
    </row>
    <row r="159" spans="1:7" ht="15" x14ac:dyDescent="0.25">
      <c r="A159" t="s">
        <v>106</v>
      </c>
      <c r="B159" t="s">
        <v>42</v>
      </c>
      <c r="C159" t="s">
        <v>84</v>
      </c>
      <c r="D159" t="s">
        <v>107</v>
      </c>
      <c r="E159" t="s">
        <v>44</v>
      </c>
      <c r="F159" t="s">
        <v>86</v>
      </c>
      <c r="G159">
        <v>2715995</v>
      </c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F8DD-7EF0-4DFC-81DA-B77971871BB2}">
  <sheetPr codeName="Hoja14">
    <tabColor theme="0"/>
  </sheetPr>
  <dimension ref="B2:M48"/>
  <sheetViews>
    <sheetView showGridLines="0" zoomScale="85" zoomScaleNormal="85" workbookViewId="0"/>
  </sheetViews>
  <sheetFormatPr baseColWidth="10" defaultRowHeight="12.75" x14ac:dyDescent="0.2"/>
  <cols>
    <col min="1" max="1" width="11.42578125" style="49"/>
    <col min="2" max="2" width="3.42578125" style="49" customWidth="1"/>
    <col min="3" max="3" width="16.28515625" style="49" bestFit="1" customWidth="1"/>
    <col min="4" max="4" width="49.5703125" style="49" bestFit="1" customWidth="1"/>
    <col min="5" max="5" width="12" style="49" customWidth="1"/>
    <col min="6" max="6" width="16" style="49" customWidth="1"/>
    <col min="7" max="7" width="18.28515625" style="49" customWidth="1"/>
    <col min="8" max="8" width="12.140625" style="49" bestFit="1" customWidth="1"/>
    <col min="9" max="9" width="12.85546875" style="49" customWidth="1"/>
    <col min="10" max="10" width="13.7109375" style="49" customWidth="1"/>
    <col min="11" max="11" width="14.140625" style="49" customWidth="1"/>
    <col min="12" max="13" width="11.5703125" style="49" bestFit="1" customWidth="1"/>
    <col min="14" max="14" width="13.28515625" style="49" customWidth="1"/>
    <col min="15" max="15" width="12.7109375" style="49" customWidth="1"/>
    <col min="16" max="16384" width="11.42578125" style="49"/>
  </cols>
  <sheetData>
    <row r="2" spans="2:13" x14ac:dyDescent="0.2">
      <c r="B2" s="54" t="s">
        <v>54</v>
      </c>
      <c r="D2" s="54"/>
      <c r="E2" s="55" t="s">
        <v>55</v>
      </c>
      <c r="F2" s="55"/>
      <c r="G2" s="43" t="s">
        <v>56</v>
      </c>
    </row>
    <row r="3" spans="2:13" ht="15" x14ac:dyDescent="0.25">
      <c r="B3" s="56">
        <v>45597</v>
      </c>
      <c r="C3" s="56"/>
      <c r="D3" s="57"/>
      <c r="E3"/>
      <c r="F3"/>
      <c r="G3"/>
      <c r="H3"/>
      <c r="I3"/>
      <c r="J3"/>
      <c r="K3"/>
    </row>
    <row r="4" spans="2:13" ht="15" x14ac:dyDescent="0.25">
      <c r="B4" s="54"/>
      <c r="E4"/>
      <c r="F4"/>
      <c r="G4"/>
      <c r="H4"/>
      <c r="I4"/>
      <c r="J4"/>
      <c r="K4"/>
    </row>
    <row r="6" spans="2:13" ht="15" x14ac:dyDescent="0.25">
      <c r="B6" s="58" t="s">
        <v>108</v>
      </c>
      <c r="C6" s="58" t="s">
        <v>109</v>
      </c>
      <c r="D6" s="58" t="s">
        <v>57</v>
      </c>
      <c r="E6" s="58" t="s">
        <v>110</v>
      </c>
      <c r="F6" s="59" t="s">
        <v>111</v>
      </c>
      <c r="G6" s="59" t="s">
        <v>112</v>
      </c>
      <c r="H6" s="59" t="s">
        <v>113</v>
      </c>
      <c r="L6" s="60"/>
    </row>
    <row r="7" spans="2:13" ht="15" x14ac:dyDescent="0.25">
      <c r="B7" s="58"/>
      <c r="C7" s="58"/>
      <c r="D7" s="58"/>
      <c r="E7" s="58"/>
      <c r="F7" s="59" t="s">
        <v>114</v>
      </c>
      <c r="G7" s="59" t="s">
        <v>114</v>
      </c>
      <c r="H7" s="59" t="s">
        <v>8</v>
      </c>
      <c r="L7" s="60"/>
      <c r="M7" s="61"/>
    </row>
    <row r="8" spans="2:13" ht="15" x14ac:dyDescent="0.25">
      <c r="B8" s="62">
        <v>1</v>
      </c>
      <c r="C8" s="62" t="s">
        <v>10</v>
      </c>
      <c r="D8" s="63" t="str">
        <f t="shared" ref="D8:D45" si="0">"resumen_montos_facturados_TD_AR_CDpRGL"&amp;"_"&amp;TEXT($B$3,"yymm")&amp;$G$2&amp;".xlsx"</f>
        <v>resumen_montos_facturados_TD_AR_CDpRGL_2411pre.xlsx</v>
      </c>
      <c r="E8" s="62" t="s">
        <v>10</v>
      </c>
      <c r="F8" s="64">
        <v>2326097</v>
      </c>
      <c r="G8" s="64">
        <v>2635414</v>
      </c>
      <c r="H8" s="64">
        <v>152802.45002534791</v>
      </c>
      <c r="I8" s="65"/>
      <c r="J8" s="65"/>
      <c r="K8" s="60"/>
      <c r="L8" s="60"/>
    </row>
    <row r="9" spans="2:13" ht="15" x14ac:dyDescent="0.25">
      <c r="B9" s="62">
        <v>2</v>
      </c>
      <c r="C9" s="62" t="s">
        <v>16</v>
      </c>
      <c r="D9" s="63" t="str">
        <f t="shared" si="0"/>
        <v>resumen_montos_facturados_TD_AR_CDpRGL_2411pre.xlsx</v>
      </c>
      <c r="E9" s="62" t="s">
        <v>16</v>
      </c>
      <c r="F9" s="64">
        <v>831740</v>
      </c>
      <c r="G9" s="64">
        <v>3003747</v>
      </c>
      <c r="H9" s="64">
        <v>122371.01577316</v>
      </c>
      <c r="I9" s="65"/>
      <c r="J9" s="65"/>
      <c r="K9" s="60"/>
      <c r="L9" s="60"/>
    </row>
    <row r="10" spans="2:13" ht="15" x14ac:dyDescent="0.25">
      <c r="B10" s="62">
        <v>3</v>
      </c>
      <c r="C10" s="62" t="s">
        <v>27</v>
      </c>
      <c r="D10" s="63" t="str">
        <f t="shared" si="0"/>
        <v>resumen_montos_facturados_TD_AR_CDpRGL_2411pre.xlsx</v>
      </c>
      <c r="E10" s="62" t="s">
        <v>27</v>
      </c>
      <c r="F10" s="64">
        <v>1805683.4</v>
      </c>
      <c r="G10" s="64">
        <v>5971293.3500100002</v>
      </c>
      <c r="H10" s="64">
        <v>246898.18083920659</v>
      </c>
      <c r="I10" s="65"/>
      <c r="J10" s="65"/>
      <c r="K10" s="60"/>
      <c r="L10" s="60"/>
    </row>
    <row r="11" spans="2:13" ht="15" x14ac:dyDescent="0.25">
      <c r="B11" s="62">
        <v>4</v>
      </c>
      <c r="C11" s="62" t="s">
        <v>34</v>
      </c>
      <c r="D11" s="63" t="str">
        <f t="shared" si="0"/>
        <v>resumen_montos_facturados_TD_AR_CDpRGL_2411pre.xlsx</v>
      </c>
      <c r="E11" s="62" t="s">
        <v>34</v>
      </c>
      <c r="F11" s="64">
        <v>435195</v>
      </c>
      <c r="G11" s="64">
        <v>1404719</v>
      </c>
      <c r="H11" s="64">
        <v>59962.222465736093</v>
      </c>
      <c r="I11" s="65"/>
      <c r="J11" s="65"/>
      <c r="K11" s="60"/>
      <c r="L11" s="60"/>
    </row>
    <row r="12" spans="2:13" ht="15" x14ac:dyDescent="0.25">
      <c r="B12" s="62">
        <v>5</v>
      </c>
      <c r="C12" s="62" t="s">
        <v>12</v>
      </c>
      <c r="D12" s="63" t="str">
        <f t="shared" si="0"/>
        <v>resumen_montos_facturados_TD_AR_CDpRGL_2411pre.xlsx</v>
      </c>
      <c r="E12" s="62" t="s">
        <v>12</v>
      </c>
      <c r="F12" s="64">
        <v>150295288.942</v>
      </c>
      <c r="G12" s="64">
        <v>443534739.91159087</v>
      </c>
      <c r="H12" s="64">
        <v>18013107.905014329</v>
      </c>
      <c r="I12" s="65"/>
      <c r="J12" s="65"/>
      <c r="K12" s="60"/>
      <c r="L12" s="60"/>
    </row>
    <row r="13" spans="2:13" ht="15" x14ac:dyDescent="0.25">
      <c r="B13" s="62">
        <v>6</v>
      </c>
      <c r="C13" s="62" t="s">
        <v>29</v>
      </c>
      <c r="D13" s="63" t="str">
        <f t="shared" si="0"/>
        <v>resumen_montos_facturados_TD_AR_CDpRGL_2411pre.xlsx</v>
      </c>
      <c r="E13" s="62" t="s">
        <v>115</v>
      </c>
      <c r="F13" s="64">
        <v>47106.500999999997</v>
      </c>
      <c r="G13" s="64">
        <v>905866.74800000002</v>
      </c>
      <c r="H13" s="64">
        <v>29772.639986011491</v>
      </c>
      <c r="I13" s="65"/>
      <c r="J13" s="65"/>
      <c r="K13" s="60"/>
      <c r="L13" s="60"/>
    </row>
    <row r="14" spans="2:13" ht="15" x14ac:dyDescent="0.25">
      <c r="B14" s="62">
        <v>7</v>
      </c>
      <c r="C14" s="62" t="s">
        <v>33</v>
      </c>
      <c r="D14" s="63" t="str">
        <f t="shared" si="0"/>
        <v>resumen_montos_facturados_TD_AR_CDpRGL_2411pre.xlsx</v>
      </c>
      <c r="E14" s="62" t="s">
        <v>33</v>
      </c>
      <c r="F14" s="64">
        <v>11974026.299000001</v>
      </c>
      <c r="G14" s="64">
        <v>19645721.359000001</v>
      </c>
      <c r="H14" s="64">
        <v>939957.41790657269</v>
      </c>
      <c r="I14" s="65"/>
      <c r="J14" s="65"/>
      <c r="K14" s="60"/>
      <c r="L14" s="60"/>
    </row>
    <row r="15" spans="2:13" ht="15" x14ac:dyDescent="0.25">
      <c r="B15" s="62">
        <v>8</v>
      </c>
      <c r="C15" s="62" t="s">
        <v>116</v>
      </c>
      <c r="D15" s="63" t="str">
        <f t="shared" si="0"/>
        <v>resumen_montos_facturados_TD_AR_CDpRGL_2411pre.xlsx</v>
      </c>
      <c r="E15" s="62" t="s">
        <v>116</v>
      </c>
      <c r="F15" s="64">
        <v>0</v>
      </c>
      <c r="G15" s="64">
        <v>0</v>
      </c>
      <c r="H15" s="64">
        <v>0</v>
      </c>
      <c r="I15" s="65"/>
      <c r="J15" s="65"/>
      <c r="K15" s="60"/>
      <c r="L15" s="60"/>
    </row>
    <row r="16" spans="2:13" ht="15" x14ac:dyDescent="0.25">
      <c r="B16" s="62">
        <v>9</v>
      </c>
      <c r="C16" s="62" t="s">
        <v>117</v>
      </c>
      <c r="D16" s="63" t="str">
        <f t="shared" si="0"/>
        <v>resumen_montos_facturados_TD_AR_CDpRGL_2411pre.xlsx</v>
      </c>
      <c r="E16" s="62" t="s">
        <v>117</v>
      </c>
      <c r="F16" s="64">
        <v>0</v>
      </c>
      <c r="G16" s="64">
        <v>0</v>
      </c>
      <c r="H16" s="64">
        <v>0</v>
      </c>
      <c r="I16" s="65"/>
      <c r="J16" s="65"/>
      <c r="K16" s="60"/>
      <c r="L16" s="60"/>
    </row>
    <row r="17" spans="2:12" ht="15" x14ac:dyDescent="0.25">
      <c r="B17" s="62">
        <v>10</v>
      </c>
      <c r="C17" s="62" t="s">
        <v>13</v>
      </c>
      <c r="D17" s="63" t="str">
        <f t="shared" si="0"/>
        <v>resumen_montos_facturados_TD_AR_CDpRGL_2411pre.xlsx</v>
      </c>
      <c r="E17" s="62" t="s">
        <v>13</v>
      </c>
      <c r="F17" s="64">
        <v>99612592.738999993</v>
      </c>
      <c r="G17" s="64">
        <v>577285819.03400004</v>
      </c>
      <c r="H17" s="64">
        <v>19854634.519841269</v>
      </c>
      <c r="I17" s="65"/>
      <c r="J17" s="65"/>
      <c r="K17" s="60"/>
      <c r="L17" s="60"/>
    </row>
    <row r="18" spans="2:12" ht="15" x14ac:dyDescent="0.25">
      <c r="B18" s="62">
        <v>11</v>
      </c>
      <c r="C18" s="62" t="s">
        <v>37</v>
      </c>
      <c r="D18" s="63" t="str">
        <f t="shared" si="0"/>
        <v>resumen_montos_facturados_TD_AR_CDpRGL_2411pre.xlsx</v>
      </c>
      <c r="E18" s="62" t="s">
        <v>37</v>
      </c>
      <c r="F18" s="64">
        <v>124916</v>
      </c>
      <c r="G18" s="64">
        <v>2350374.5529999998</v>
      </c>
      <c r="H18" s="64">
        <v>74188.779510811728</v>
      </c>
      <c r="I18" s="65"/>
      <c r="J18" s="65"/>
      <c r="K18" s="60"/>
      <c r="L18" s="60"/>
    </row>
    <row r="19" spans="2:12" ht="15" x14ac:dyDescent="0.25">
      <c r="B19" s="62">
        <v>12</v>
      </c>
      <c r="C19" s="62" t="s">
        <v>118</v>
      </c>
      <c r="D19" s="63" t="str">
        <f t="shared" si="0"/>
        <v>resumen_montos_facturados_TD_AR_CDpRGL_2411pre.xlsx</v>
      </c>
      <c r="E19" s="62" t="s">
        <v>118</v>
      </c>
      <c r="F19" s="64">
        <v>36115044.516000003</v>
      </c>
      <c r="G19" s="64">
        <v>67120981.821999997</v>
      </c>
      <c r="H19" s="64">
        <v>3123432.1362358918</v>
      </c>
      <c r="I19" s="65"/>
      <c r="J19" s="65"/>
      <c r="K19" s="60"/>
      <c r="L19" s="60"/>
    </row>
    <row r="20" spans="2:12" ht="15" x14ac:dyDescent="0.25">
      <c r="B20" s="62">
        <v>13</v>
      </c>
      <c r="C20" s="62" t="s">
        <v>119</v>
      </c>
      <c r="D20" s="63" t="str">
        <f t="shared" si="0"/>
        <v>resumen_montos_facturados_TD_AR_CDpRGL_2411pre.xlsx</v>
      </c>
      <c r="E20" s="62" t="s">
        <v>119</v>
      </c>
      <c r="F20" s="64">
        <v>3546002.7880000002</v>
      </c>
      <c r="G20" s="64">
        <v>17843777.791000001</v>
      </c>
      <c r="H20" s="64">
        <v>659608.23724834656</v>
      </c>
      <c r="I20" s="65"/>
      <c r="J20" s="65"/>
      <c r="K20" s="60"/>
      <c r="L20" s="60"/>
    </row>
    <row r="21" spans="2:12" ht="15" x14ac:dyDescent="0.25">
      <c r="B21" s="62">
        <v>14</v>
      </c>
      <c r="C21" s="62" t="s">
        <v>120</v>
      </c>
      <c r="D21" s="63" t="str">
        <f t="shared" si="0"/>
        <v>resumen_montos_facturados_TD_AR_CDpRGL_2411pre.xlsx</v>
      </c>
      <c r="E21" s="62" t="s">
        <v>120</v>
      </c>
      <c r="F21" s="64">
        <v>0</v>
      </c>
      <c r="G21" s="64">
        <v>0</v>
      </c>
      <c r="H21" s="64">
        <v>0</v>
      </c>
      <c r="I21" s="65"/>
      <c r="J21" s="65"/>
      <c r="K21" s="60"/>
      <c r="L21" s="60"/>
    </row>
    <row r="22" spans="2:12" ht="15" x14ac:dyDescent="0.25">
      <c r="B22" s="62">
        <v>15</v>
      </c>
      <c r="C22" s="62" t="s">
        <v>22</v>
      </c>
      <c r="D22" s="63" t="str">
        <f t="shared" si="0"/>
        <v>resumen_montos_facturados_TD_AR_CDpRGL_2411pre.xlsx</v>
      </c>
      <c r="E22" s="62" t="s">
        <v>22</v>
      </c>
      <c r="F22" s="64">
        <v>1340082</v>
      </c>
      <c r="G22" s="64">
        <v>7838468</v>
      </c>
      <c r="H22" s="64">
        <v>283268.17381328263</v>
      </c>
      <c r="I22" s="65"/>
      <c r="J22" s="65"/>
      <c r="K22" s="60"/>
      <c r="L22" s="60"/>
    </row>
    <row r="23" spans="2:12" ht="15" x14ac:dyDescent="0.25">
      <c r="B23" s="62">
        <v>16</v>
      </c>
      <c r="C23" s="62" t="s">
        <v>21</v>
      </c>
      <c r="D23" s="63" t="str">
        <f t="shared" si="0"/>
        <v>resumen_montos_facturados_TD_AR_CDpRGL_2411pre.xlsx</v>
      </c>
      <c r="E23" s="62" t="s">
        <v>21</v>
      </c>
      <c r="F23" s="64">
        <v>6403665</v>
      </c>
      <c r="G23" s="64">
        <v>12660966</v>
      </c>
      <c r="H23" s="64">
        <v>590716.05473677104</v>
      </c>
      <c r="I23" s="65"/>
      <c r="J23" s="65"/>
      <c r="K23" s="60"/>
      <c r="L23" s="60"/>
    </row>
    <row r="24" spans="2:12" ht="15" x14ac:dyDescent="0.25">
      <c r="B24" s="62">
        <v>17</v>
      </c>
      <c r="C24" s="62" t="s">
        <v>28</v>
      </c>
      <c r="D24" s="63" t="str">
        <f t="shared" si="0"/>
        <v>resumen_montos_facturados_TD_AR_CDpRGL_2411pre.xlsx</v>
      </c>
      <c r="E24" s="62" t="s">
        <v>28</v>
      </c>
      <c r="F24" s="64">
        <v>1672175</v>
      </c>
      <c r="G24" s="64">
        <v>13546908</v>
      </c>
      <c r="H24" s="64">
        <v>455081.27995254402</v>
      </c>
      <c r="I24" s="65"/>
      <c r="J24" s="65"/>
      <c r="K24" s="60"/>
      <c r="L24" s="60"/>
    </row>
    <row r="25" spans="2:12" ht="15" x14ac:dyDescent="0.25">
      <c r="B25" s="62">
        <v>18</v>
      </c>
      <c r="C25" s="62" t="s">
        <v>20</v>
      </c>
      <c r="D25" s="63" t="str">
        <f t="shared" si="0"/>
        <v>resumen_montos_facturados_TD_AR_CDpRGL_2411pre.xlsx</v>
      </c>
      <c r="E25" s="62" t="s">
        <v>20</v>
      </c>
      <c r="F25" s="64">
        <v>415252</v>
      </c>
      <c r="G25" s="64">
        <v>2739791</v>
      </c>
      <c r="H25" s="64">
        <v>103959.5670132471</v>
      </c>
      <c r="I25" s="65"/>
      <c r="J25" s="65"/>
      <c r="K25" s="60"/>
      <c r="L25" s="60"/>
    </row>
    <row r="26" spans="2:12" ht="15" x14ac:dyDescent="0.25">
      <c r="B26" s="62">
        <v>19</v>
      </c>
      <c r="C26" s="62" t="s">
        <v>43</v>
      </c>
      <c r="D26" s="63" t="str">
        <f t="shared" si="0"/>
        <v>resumen_montos_facturados_TD_AR_CDpRGL_2411pre.xlsx</v>
      </c>
      <c r="E26" s="62" t="s">
        <v>43</v>
      </c>
      <c r="F26" s="64">
        <v>1101853</v>
      </c>
      <c r="G26" s="64">
        <v>2017898</v>
      </c>
      <c r="H26" s="64">
        <v>96532.379427513122</v>
      </c>
      <c r="I26" s="65"/>
      <c r="J26" s="65"/>
      <c r="K26" s="60"/>
      <c r="L26" s="60"/>
    </row>
    <row r="27" spans="2:12" ht="15" x14ac:dyDescent="0.25">
      <c r="B27" s="62">
        <v>20</v>
      </c>
      <c r="C27" s="62" t="s">
        <v>18</v>
      </c>
      <c r="D27" s="63" t="str">
        <f t="shared" si="0"/>
        <v>resumen_montos_facturados_TD_AR_CDpRGL_2411pre.xlsx</v>
      </c>
      <c r="E27" s="62" t="s">
        <v>18</v>
      </c>
      <c r="F27" s="64">
        <v>1776419</v>
      </c>
      <c r="G27" s="64">
        <v>5939205</v>
      </c>
      <c r="H27" s="64">
        <v>236702.04936311359</v>
      </c>
      <c r="I27" s="65"/>
      <c r="J27" s="65"/>
      <c r="K27" s="60"/>
      <c r="L27" s="60"/>
    </row>
    <row r="28" spans="2:12" ht="15" x14ac:dyDescent="0.25">
      <c r="B28" s="62">
        <v>21</v>
      </c>
      <c r="C28" s="62" t="s">
        <v>35</v>
      </c>
      <c r="D28" s="63" t="str">
        <f t="shared" si="0"/>
        <v>resumen_montos_facturados_TD_AR_CDpRGL_2411pre.xlsx</v>
      </c>
      <c r="E28" s="62" t="s">
        <v>35</v>
      </c>
      <c r="F28" s="64">
        <v>18146722.66</v>
      </c>
      <c r="G28" s="64">
        <v>65344272.25</v>
      </c>
      <c r="H28" s="64">
        <v>2613453.0838794028</v>
      </c>
      <c r="I28" s="65"/>
      <c r="J28" s="65"/>
      <c r="K28" s="60"/>
      <c r="L28" s="60"/>
    </row>
    <row r="29" spans="2:12" ht="15" x14ac:dyDescent="0.25">
      <c r="B29" s="62">
        <v>22</v>
      </c>
      <c r="C29" s="62" t="s">
        <v>38</v>
      </c>
      <c r="D29" s="63" t="str">
        <f t="shared" si="0"/>
        <v>resumen_montos_facturados_TD_AR_CDpRGL_2411pre.xlsx</v>
      </c>
      <c r="E29" s="62" t="s">
        <v>38</v>
      </c>
      <c r="F29" s="64">
        <v>7623977.3300000001</v>
      </c>
      <c r="G29" s="64">
        <v>6686820.3399999999</v>
      </c>
      <c r="H29" s="64">
        <v>434871.48633989808</v>
      </c>
      <c r="I29" s="65"/>
      <c r="J29" s="65"/>
      <c r="K29" s="60"/>
      <c r="L29" s="60"/>
    </row>
    <row r="30" spans="2:12" ht="15" x14ac:dyDescent="0.25">
      <c r="B30" s="62">
        <v>23</v>
      </c>
      <c r="C30" s="62" t="s">
        <v>42</v>
      </c>
      <c r="D30" s="63" t="str">
        <f t="shared" si="0"/>
        <v>resumen_montos_facturados_TD_AR_CDpRGL_2411pre.xlsx</v>
      </c>
      <c r="E30" s="62" t="s">
        <v>42</v>
      </c>
      <c r="F30" s="64">
        <v>39086898.990000002</v>
      </c>
      <c r="G30" s="64">
        <v>116325295.42</v>
      </c>
      <c r="H30" s="64">
        <v>4569233.6971774669</v>
      </c>
      <c r="I30" s="65"/>
      <c r="J30" s="65"/>
      <c r="K30" s="60"/>
      <c r="L30" s="60"/>
    </row>
    <row r="31" spans="2:12" ht="15" x14ac:dyDescent="0.25">
      <c r="B31" s="62">
        <v>24</v>
      </c>
      <c r="C31" s="62" t="s">
        <v>15</v>
      </c>
      <c r="D31" s="63" t="str">
        <f t="shared" si="0"/>
        <v>resumen_montos_facturados_TD_AR_CDpRGL_2411pre.xlsx</v>
      </c>
      <c r="E31" s="62" t="s">
        <v>15</v>
      </c>
      <c r="F31" s="64">
        <v>1783537</v>
      </c>
      <c r="G31" s="64">
        <v>2968035</v>
      </c>
      <c r="H31" s="64">
        <v>144266.28882070721</v>
      </c>
      <c r="I31" s="65"/>
      <c r="J31" s="65"/>
      <c r="K31" s="60"/>
      <c r="L31" s="60"/>
    </row>
    <row r="32" spans="2:12" ht="15" x14ac:dyDescent="0.25">
      <c r="B32" s="62">
        <v>25</v>
      </c>
      <c r="C32" s="62" t="s">
        <v>14</v>
      </c>
      <c r="D32" s="63" t="str">
        <f t="shared" si="0"/>
        <v>resumen_montos_facturados_TD_AR_CDpRGL_2411pre.xlsx</v>
      </c>
      <c r="E32" s="62" t="s">
        <v>14</v>
      </c>
      <c r="F32" s="64">
        <v>36273940.112099998</v>
      </c>
      <c r="G32" s="64">
        <v>128248876.10401</v>
      </c>
      <c r="H32" s="64">
        <v>5165823.5847617751</v>
      </c>
      <c r="I32" s="65"/>
      <c r="J32" s="65"/>
      <c r="K32" s="60"/>
      <c r="L32" s="60"/>
    </row>
    <row r="33" spans="2:12" ht="15" x14ac:dyDescent="0.25">
      <c r="B33" s="62">
        <v>26</v>
      </c>
      <c r="C33" s="62" t="s">
        <v>24</v>
      </c>
      <c r="D33" s="63" t="str">
        <f t="shared" si="0"/>
        <v>resumen_montos_facturados_TD_AR_CDpRGL_2411pre.xlsx</v>
      </c>
      <c r="E33" s="62" t="s">
        <v>24</v>
      </c>
      <c r="F33" s="64">
        <v>1423339.4</v>
      </c>
      <c r="G33" s="64">
        <v>2691623.3</v>
      </c>
      <c r="H33" s="64">
        <v>122717.2794571195</v>
      </c>
      <c r="I33" s="65"/>
      <c r="J33" s="65"/>
      <c r="K33" s="60"/>
      <c r="L33" s="60"/>
    </row>
    <row r="34" spans="2:12" ht="15" x14ac:dyDescent="0.25">
      <c r="B34" s="62">
        <v>27</v>
      </c>
      <c r="C34" s="62" t="s">
        <v>36</v>
      </c>
      <c r="D34" s="63" t="str">
        <f t="shared" si="0"/>
        <v>resumen_montos_facturados_TD_AR_CDpRGL_2411pre.xlsx</v>
      </c>
      <c r="E34" s="62" t="s">
        <v>36</v>
      </c>
      <c r="F34" s="64">
        <v>1276707</v>
      </c>
      <c r="G34" s="64">
        <v>8790443.6421000008</v>
      </c>
      <c r="H34" s="64">
        <v>298369.01251670689</v>
      </c>
      <c r="I34" s="65"/>
      <c r="J34" s="65"/>
      <c r="K34" s="60"/>
      <c r="L34" s="60"/>
    </row>
    <row r="35" spans="2:12" ht="15" x14ac:dyDescent="0.25">
      <c r="B35" s="62">
        <v>28</v>
      </c>
      <c r="C35" s="62" t="s">
        <v>39</v>
      </c>
      <c r="D35" s="63" t="str">
        <f t="shared" si="0"/>
        <v>resumen_montos_facturados_TD_AR_CDpRGL_2411pre.xlsx</v>
      </c>
      <c r="E35" s="62" t="s">
        <v>39</v>
      </c>
      <c r="F35" s="64">
        <v>4811501.0999999996</v>
      </c>
      <c r="G35" s="64">
        <v>5595383.0766000003</v>
      </c>
      <c r="H35" s="64">
        <v>318329.39714144531</v>
      </c>
      <c r="I35" s="65"/>
      <c r="J35" s="65"/>
      <c r="K35" s="60"/>
      <c r="L35" s="60"/>
    </row>
    <row r="36" spans="2:12" ht="15" x14ac:dyDescent="0.25">
      <c r="B36" s="62">
        <v>29</v>
      </c>
      <c r="C36" s="62" t="s">
        <v>40</v>
      </c>
      <c r="D36" s="63" t="str">
        <f t="shared" si="0"/>
        <v>resumen_montos_facturados_TD_AR_CDpRGL_2411pre.xlsx</v>
      </c>
      <c r="E36" s="62" t="s">
        <v>40</v>
      </c>
      <c r="F36" s="64">
        <v>4149649.6000999999</v>
      </c>
      <c r="G36" s="64">
        <v>4140508.7782999999</v>
      </c>
      <c r="H36" s="64">
        <v>261098.7643757216</v>
      </c>
      <c r="I36" s="65"/>
      <c r="J36" s="65"/>
      <c r="K36" s="60"/>
      <c r="L36" s="60"/>
    </row>
    <row r="37" spans="2:12" ht="15" x14ac:dyDescent="0.25">
      <c r="B37" s="62">
        <v>30</v>
      </c>
      <c r="C37" s="62" t="s">
        <v>44</v>
      </c>
      <c r="D37" s="63" t="str">
        <f t="shared" si="0"/>
        <v>resumen_montos_facturados_TD_AR_CDpRGL_2411pre.xlsx</v>
      </c>
      <c r="E37" s="62" t="s">
        <v>121</v>
      </c>
      <c r="F37" s="64">
        <v>615895</v>
      </c>
      <c r="G37" s="64">
        <v>789659</v>
      </c>
      <c r="H37" s="64">
        <v>44832.369819676882</v>
      </c>
      <c r="I37" s="65"/>
      <c r="J37" s="65"/>
      <c r="K37" s="60"/>
      <c r="L37" s="60"/>
    </row>
    <row r="38" spans="2:12" ht="15" x14ac:dyDescent="0.25">
      <c r="B38" s="62">
        <v>31</v>
      </c>
      <c r="C38" s="62" t="s">
        <v>32</v>
      </c>
      <c r="D38" s="63" t="str">
        <f t="shared" si="0"/>
        <v>resumen_montos_facturados_TD_AR_CDpRGL_2411pre.xlsx</v>
      </c>
      <c r="E38" s="62" t="s">
        <v>32</v>
      </c>
      <c r="F38" s="64">
        <v>4020505.8080000002</v>
      </c>
      <c r="G38" s="64">
        <v>17385830.765000001</v>
      </c>
      <c r="H38" s="64">
        <v>659425.13309147221</v>
      </c>
      <c r="I38" s="65"/>
      <c r="J38" s="65"/>
      <c r="K38" s="60"/>
      <c r="L38" s="60"/>
    </row>
    <row r="39" spans="2:12" ht="15" x14ac:dyDescent="0.25">
      <c r="B39" s="62">
        <v>32</v>
      </c>
      <c r="C39" s="62" t="s">
        <v>31</v>
      </c>
      <c r="D39" s="63" t="str">
        <f t="shared" si="0"/>
        <v>resumen_montos_facturados_TD_AR_CDpRGL_2411pre.xlsx</v>
      </c>
      <c r="E39" s="62" t="s">
        <v>31</v>
      </c>
      <c r="F39" s="64">
        <v>5415989.6499999994</v>
      </c>
      <c r="G39" s="64">
        <v>26615885.381000001</v>
      </c>
      <c r="H39" s="64">
        <v>978304.68235031085</v>
      </c>
      <c r="I39" s="65"/>
      <c r="J39" s="65"/>
      <c r="K39" s="60"/>
      <c r="L39" s="60"/>
    </row>
    <row r="40" spans="2:12" ht="15" x14ac:dyDescent="0.25">
      <c r="B40" s="62">
        <v>33</v>
      </c>
      <c r="C40" s="62" t="s">
        <v>30</v>
      </c>
      <c r="D40" s="63" t="str">
        <f t="shared" si="0"/>
        <v>resumen_montos_facturados_TD_AR_CDpRGL_2411pre.xlsx</v>
      </c>
      <c r="E40" s="62" t="s">
        <v>30</v>
      </c>
      <c r="F40" s="64">
        <v>12467732.339</v>
      </c>
      <c r="G40" s="64">
        <v>48478175.480999999</v>
      </c>
      <c r="H40" s="64">
        <v>1875513.919634447</v>
      </c>
      <c r="I40" s="65"/>
      <c r="J40" s="65"/>
      <c r="K40" s="60"/>
      <c r="L40" s="60"/>
    </row>
    <row r="41" spans="2:12" ht="15" x14ac:dyDescent="0.25">
      <c r="B41" s="62">
        <v>34</v>
      </c>
      <c r="C41" s="62" t="s">
        <v>19</v>
      </c>
      <c r="D41" s="63" t="str">
        <f t="shared" si="0"/>
        <v>resumen_montos_facturados_TD_AR_CDpRGL_2411pre.xlsx</v>
      </c>
      <c r="E41" s="62" t="s">
        <v>19</v>
      </c>
      <c r="F41" s="64">
        <v>0</v>
      </c>
      <c r="G41" s="64">
        <v>0</v>
      </c>
      <c r="H41" s="64">
        <v>0</v>
      </c>
      <c r="I41" s="65"/>
      <c r="J41" s="65"/>
      <c r="K41" s="60"/>
      <c r="L41" s="60"/>
    </row>
    <row r="42" spans="2:12" ht="15" x14ac:dyDescent="0.25">
      <c r="B42" s="62">
        <v>35</v>
      </c>
      <c r="C42" s="62" t="s">
        <v>23</v>
      </c>
      <c r="D42" s="63" t="str">
        <f t="shared" si="0"/>
        <v>resumen_montos_facturados_TD_AR_CDpRGL_2411pre.xlsx</v>
      </c>
      <c r="E42" s="62" t="s">
        <v>23</v>
      </c>
      <c r="F42" s="64">
        <v>0</v>
      </c>
      <c r="G42" s="64">
        <v>7376</v>
      </c>
      <c r="H42" s="64">
        <v>240.60718528000001</v>
      </c>
      <c r="I42" s="65"/>
      <c r="J42" s="65"/>
      <c r="K42" s="60"/>
      <c r="L42" s="60"/>
    </row>
    <row r="43" spans="2:12" ht="15" x14ac:dyDescent="0.25">
      <c r="B43" s="62">
        <v>36</v>
      </c>
      <c r="C43" s="62" t="s">
        <v>25</v>
      </c>
      <c r="D43" s="63" t="str">
        <f t="shared" si="0"/>
        <v>resumen_montos_facturados_TD_AR_CDpRGL_2411pre.xlsx</v>
      </c>
      <c r="E43" s="62" t="s">
        <v>25</v>
      </c>
      <c r="F43" s="64">
        <v>5075044.74</v>
      </c>
      <c r="G43" s="64">
        <v>12329238.789999999</v>
      </c>
      <c r="H43" s="64">
        <v>533240.27992525254</v>
      </c>
      <c r="I43" s="65"/>
      <c r="J43" s="65"/>
      <c r="K43" s="60"/>
      <c r="L43" s="60"/>
    </row>
    <row r="44" spans="2:12" ht="15" x14ac:dyDescent="0.25">
      <c r="B44" s="62">
        <v>37</v>
      </c>
      <c r="C44" s="62" t="s">
        <v>26</v>
      </c>
      <c r="D44" s="63" t="str">
        <f t="shared" si="0"/>
        <v>resumen_montos_facturados_TD_AR_CDpRGL_2411pre.xlsx</v>
      </c>
      <c r="E44" s="62" t="s">
        <v>26</v>
      </c>
      <c r="F44" s="64">
        <v>12193525.536</v>
      </c>
      <c r="G44" s="64">
        <v>16771730.183</v>
      </c>
      <c r="H44" s="64">
        <v>872263.1150621319</v>
      </c>
      <c r="I44" s="65"/>
      <c r="J44" s="65"/>
      <c r="K44" s="60"/>
      <c r="L44" s="60"/>
    </row>
    <row r="45" spans="2:12" ht="15" x14ac:dyDescent="0.25">
      <c r="B45" s="62">
        <v>38</v>
      </c>
      <c r="C45" s="62" t="s">
        <v>41</v>
      </c>
      <c r="D45" s="63" t="str">
        <f t="shared" si="0"/>
        <v>resumen_montos_facturados_TD_AR_CDpRGL_2411pre.xlsx</v>
      </c>
      <c r="E45" s="62" t="s">
        <v>41</v>
      </c>
      <c r="F45" s="64">
        <v>30000.9</v>
      </c>
      <c r="G45" s="64">
        <v>49706.2</v>
      </c>
      <c r="H45" s="64">
        <v>2478.7924338033358</v>
      </c>
      <c r="I45" s="65"/>
      <c r="J45" s="65"/>
      <c r="K45" s="60"/>
      <c r="L45" s="60"/>
    </row>
    <row r="46" spans="2:12" ht="15" x14ac:dyDescent="0.25">
      <c r="B46" s="66" t="s">
        <v>52</v>
      </c>
      <c r="C46" s="67"/>
      <c r="D46" s="67"/>
      <c r="E46" s="68"/>
      <c r="F46" s="69">
        <f>SUM(F8:F45)</f>
        <v>474218106.35019994</v>
      </c>
      <c r="G46" s="69">
        <f>SUM(G8:G45)</f>
        <v>1649664550.2796113</v>
      </c>
      <c r="H46" s="69">
        <f>SUM(H8:H45)</f>
        <v>63937456.503125772</v>
      </c>
      <c r="I46" s="65"/>
      <c r="J46" s="65"/>
      <c r="K46" s="60"/>
      <c r="L46" s="60"/>
    </row>
    <row r="47" spans="2:12" ht="15" x14ac:dyDescent="0.25">
      <c r="L47" s="60"/>
    </row>
    <row r="48" spans="2:12" ht="15" x14ac:dyDescent="0.25">
      <c r="F48" s="70"/>
      <c r="G48" s="70"/>
      <c r="H48" s="70"/>
      <c r="L48" s="60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D737C28F-6D82-4366-B07B-BCF04CEABFB2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E4E1-7450-4853-8CCB-7119DFA6732A}">
  <sheetPr codeName="Hoja15">
    <tabColor rgb="FF00B050"/>
  </sheetPr>
  <dimension ref="B2:J5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49" customWidth="1"/>
    <col min="2" max="2" width="24.85546875" style="49" customWidth="1"/>
    <col min="3" max="3" width="18.28515625" style="49" customWidth="1"/>
    <col min="4" max="4" width="13.42578125" style="49" bestFit="1" customWidth="1"/>
    <col min="5" max="5" width="12.140625" style="49" bestFit="1" customWidth="1"/>
    <col min="6" max="6" width="16" style="49" customWidth="1"/>
    <col min="7" max="7" width="13.85546875" style="49" customWidth="1"/>
    <col min="8" max="8" width="12.85546875" style="49" customWidth="1"/>
    <col min="9" max="9" width="15.42578125" style="49" customWidth="1"/>
    <col min="10" max="10" width="12.42578125" style="49" bestFit="1" customWidth="1"/>
    <col min="11" max="11" width="23.85546875" style="49" customWidth="1"/>
    <col min="12" max="16384" width="11.42578125" style="49"/>
  </cols>
  <sheetData>
    <row r="2" spans="2:10" x14ac:dyDescent="0.2">
      <c r="B2" s="71" t="s">
        <v>122</v>
      </c>
      <c r="C2" s="71"/>
      <c r="D2" s="71"/>
    </row>
    <row r="3" spans="2:10" ht="15" x14ac:dyDescent="0.25">
      <c r="B3" s="72">
        <f>'Entrada CUSSR'!$B$3</f>
        <v>45597</v>
      </c>
      <c r="C3" s="73"/>
      <c r="D3" s="73"/>
      <c r="G3"/>
      <c r="H3" s="74"/>
    </row>
    <row r="4" spans="2:10" ht="15" x14ac:dyDescent="0.25">
      <c r="B4" s="75"/>
      <c r="D4" s="73"/>
      <c r="G4"/>
      <c r="H4" s="76"/>
    </row>
    <row r="6" spans="2:10" ht="12.75" customHeight="1" x14ac:dyDescent="0.2">
      <c r="B6" s="77" t="s">
        <v>110</v>
      </c>
      <c r="C6" s="77" t="s">
        <v>111</v>
      </c>
      <c r="D6" s="77" t="s">
        <v>112</v>
      </c>
      <c r="E6" s="77" t="s">
        <v>113</v>
      </c>
      <c r="F6" s="77" t="str">
        <f>"Saldo Tabla 20 D10T-2024 PNP"</f>
        <v>Saldo Tabla 20 D10T-2024 PNP</v>
      </c>
      <c r="G6" s="77" t="s">
        <v>123</v>
      </c>
      <c r="H6" s="77" t="s">
        <v>124</v>
      </c>
      <c r="I6" s="77" t="s">
        <v>125</v>
      </c>
    </row>
    <row r="7" spans="2:10" x14ac:dyDescent="0.2">
      <c r="B7" s="78"/>
      <c r="C7" s="79"/>
      <c r="D7" s="79"/>
      <c r="E7" s="79"/>
      <c r="F7" s="80"/>
      <c r="G7" s="79"/>
      <c r="H7" s="79"/>
      <c r="I7" s="79"/>
    </row>
    <row r="8" spans="2:10" ht="13.5" customHeight="1" x14ac:dyDescent="0.2">
      <c r="B8" s="78"/>
      <c r="C8" s="81" t="s">
        <v>114</v>
      </c>
      <c r="D8" s="81" t="s">
        <v>114</v>
      </c>
      <c r="E8" s="81" t="s">
        <v>8</v>
      </c>
      <c r="F8" s="81" t="s">
        <v>8</v>
      </c>
      <c r="G8" s="81" t="s">
        <v>8</v>
      </c>
      <c r="H8" s="81" t="s">
        <v>8</v>
      </c>
      <c r="I8" s="82" t="s">
        <v>8</v>
      </c>
    </row>
    <row r="9" spans="2:10" x14ac:dyDescent="0.2">
      <c r="B9" s="83" t="s">
        <v>10</v>
      </c>
      <c r="C9" s="84">
        <f>SUMIF('Entrada CUSSR'!$E$8:$E$45,'Reliquidación CUSSR'!$B9,'Entrada CUSSR'!F$8:F$45)</f>
        <v>2326097</v>
      </c>
      <c r="D9" s="84">
        <f>SUMIF('Entrada CUSSR'!$E$8:$E$45,'Reliquidación CUSSR'!$B9,'Entrada CUSSR'!G$8:G$45)</f>
        <v>2635414</v>
      </c>
      <c r="E9" s="84">
        <f>SUMIF('Entrada CUSSR'!$E$8:$E$45,'Reliquidación CUSSR'!$B9,'Entrada CUSSR'!H$8:H$45)</f>
        <v>152802.45002534791</v>
      </c>
      <c r="F9" s="84">
        <v>-11579584</v>
      </c>
      <c r="G9" s="85">
        <f t="shared" ref="G9:G45" si="0">+F9/F$46</f>
        <v>2.8298350216811239E-2</v>
      </c>
      <c r="H9" s="84">
        <f t="shared" ref="H9:H45" si="1">+G9*E$46</f>
        <v>1809324.5360975883</v>
      </c>
      <c r="I9" s="84">
        <f t="shared" ref="I9:I45" si="2">+E9-H9</f>
        <v>-1656522.0860722403</v>
      </c>
      <c r="J9" s="86"/>
    </row>
    <row r="10" spans="2:10" x14ac:dyDescent="0.2">
      <c r="B10" s="87" t="s">
        <v>16</v>
      </c>
      <c r="C10" s="88">
        <f>SUMIF('Entrada CUSSR'!$E$8:$E$45,'Reliquidación CUSSR'!$B10,'Entrada CUSSR'!F$8:F$45)</f>
        <v>831740</v>
      </c>
      <c r="D10" s="88">
        <f>SUMIF('Entrada CUSSR'!$E$8:$E$45,'Reliquidación CUSSR'!$B10,'Entrada CUSSR'!G$8:G$45)</f>
        <v>3003747</v>
      </c>
      <c r="E10" s="88">
        <f>SUMIF('Entrada CUSSR'!$E$8:$E$45,'Reliquidación CUSSR'!$B10,'Entrada CUSSR'!H$8:H$45)</f>
        <v>122371.01577316</v>
      </c>
      <c r="F10" s="88">
        <v>-2618665</v>
      </c>
      <c r="G10" s="89">
        <f t="shared" si="0"/>
        <v>6.3995303519112602E-3</v>
      </c>
      <c r="H10" s="88">
        <f t="shared" si="1"/>
        <v>409169.69351575937</v>
      </c>
      <c r="I10" s="88">
        <f t="shared" si="2"/>
        <v>-286798.67774259939</v>
      </c>
      <c r="J10" s="86"/>
    </row>
    <row r="11" spans="2:10" x14ac:dyDescent="0.2">
      <c r="B11" s="87" t="s">
        <v>27</v>
      </c>
      <c r="C11" s="88">
        <f>SUMIF('Entrada CUSSR'!$E$8:$E$45,'Reliquidación CUSSR'!$B11,'Entrada CUSSR'!F$8:F$45)</f>
        <v>1805683.4</v>
      </c>
      <c r="D11" s="88">
        <f>SUMIF('Entrada CUSSR'!$E$8:$E$45,'Reliquidación CUSSR'!$B11,'Entrada CUSSR'!G$8:G$45)</f>
        <v>5971293.3500100002</v>
      </c>
      <c r="E11" s="88">
        <f>SUMIF('Entrada CUSSR'!$E$8:$E$45,'Reliquidación CUSSR'!$B11,'Entrada CUSSR'!H$8:H$45)</f>
        <v>246898.18083920659</v>
      </c>
      <c r="F11" s="88">
        <v>0</v>
      </c>
      <c r="G11" s="89">
        <f t="shared" si="0"/>
        <v>0</v>
      </c>
      <c r="H11" s="88">
        <f t="shared" si="1"/>
        <v>0</v>
      </c>
      <c r="I11" s="88">
        <f t="shared" si="2"/>
        <v>246898.18083920659</v>
      </c>
      <c r="J11" s="86"/>
    </row>
    <row r="12" spans="2:10" x14ac:dyDescent="0.2">
      <c r="B12" s="87" t="s">
        <v>34</v>
      </c>
      <c r="C12" s="88">
        <f>SUMIF('Entrada CUSSR'!$E$8:$E$45,'Reliquidación CUSSR'!$B12,'Entrada CUSSR'!F$8:F$45)</f>
        <v>435195</v>
      </c>
      <c r="D12" s="88">
        <f>SUMIF('Entrada CUSSR'!$E$8:$E$45,'Reliquidación CUSSR'!$B12,'Entrada CUSSR'!G$8:G$45)</f>
        <v>1404719</v>
      </c>
      <c r="E12" s="88">
        <f>SUMIF('Entrada CUSSR'!$E$8:$E$45,'Reliquidación CUSSR'!$B12,'Entrada CUSSR'!H$8:H$45)</f>
        <v>59962.222465736093</v>
      </c>
      <c r="F12" s="88">
        <v>-172386</v>
      </c>
      <c r="G12" s="89">
        <f t="shared" si="0"/>
        <v>4.2127933097382619E-4</v>
      </c>
      <c r="H12" s="88">
        <f t="shared" si="1"/>
        <v>26935.528899804936</v>
      </c>
      <c r="I12" s="88">
        <f t="shared" si="2"/>
        <v>33026.693565931157</v>
      </c>
      <c r="J12" s="86"/>
    </row>
    <row r="13" spans="2:10" x14ac:dyDescent="0.2">
      <c r="B13" s="87" t="s">
        <v>12</v>
      </c>
      <c r="C13" s="88">
        <f>SUMIF('Entrada CUSSR'!$E$8:$E$45,'Reliquidación CUSSR'!$B13,'Entrada CUSSR'!F$8:F$45)</f>
        <v>150295288.942</v>
      </c>
      <c r="D13" s="88">
        <f>SUMIF('Entrada CUSSR'!$E$8:$E$45,'Reliquidación CUSSR'!$B13,'Entrada CUSSR'!G$8:G$45)</f>
        <v>443534739.91159087</v>
      </c>
      <c r="E13" s="88">
        <f>SUMIF('Entrada CUSSR'!$E$8:$E$45,'Reliquidación CUSSR'!$B13,'Entrada CUSSR'!H$8:H$45)</f>
        <v>18013107.905014329</v>
      </c>
      <c r="F13" s="88">
        <v>-220409710</v>
      </c>
      <c r="G13" s="89">
        <f t="shared" si="0"/>
        <v>0.53864034880405043</v>
      </c>
      <c r="H13" s="88">
        <f t="shared" si="1"/>
        <v>34439293.872487471</v>
      </c>
      <c r="I13" s="88">
        <f t="shared" si="2"/>
        <v>-16426185.967473142</v>
      </c>
      <c r="J13" s="86"/>
    </row>
    <row r="14" spans="2:10" x14ac:dyDescent="0.2">
      <c r="B14" s="87" t="s">
        <v>115</v>
      </c>
      <c r="C14" s="88">
        <f>SUMIF('Entrada CUSSR'!$E$8:$E$45,'Reliquidación CUSSR'!$B14,'Entrada CUSSR'!F$8:F$45)</f>
        <v>47106.500999999997</v>
      </c>
      <c r="D14" s="88">
        <f>SUMIF('Entrada CUSSR'!$E$8:$E$45,'Reliquidación CUSSR'!$B14,'Entrada CUSSR'!G$8:G$45)</f>
        <v>905866.74800000002</v>
      </c>
      <c r="E14" s="88">
        <f>SUMIF('Entrada CUSSR'!$E$8:$E$45,'Reliquidación CUSSR'!$B14,'Entrada CUSSR'!H$8:H$45)</f>
        <v>29772.639986011491</v>
      </c>
      <c r="F14" s="88">
        <v>0</v>
      </c>
      <c r="G14" s="89">
        <f t="shared" si="0"/>
        <v>0</v>
      </c>
      <c r="H14" s="88">
        <f t="shared" si="1"/>
        <v>0</v>
      </c>
      <c r="I14" s="88">
        <f t="shared" si="2"/>
        <v>29772.639986011491</v>
      </c>
      <c r="J14" s="86"/>
    </row>
    <row r="15" spans="2:10" x14ac:dyDescent="0.2">
      <c r="B15" s="87" t="s">
        <v>33</v>
      </c>
      <c r="C15" s="88">
        <f>SUMIF('Entrada CUSSR'!$E$8:$E$45,'Reliquidación CUSSR'!$B15,'Entrada CUSSR'!F$8:F$45)</f>
        <v>11974026.299000001</v>
      </c>
      <c r="D15" s="88">
        <f>SUMIF('Entrada CUSSR'!$E$8:$E$45,'Reliquidación CUSSR'!$B15,'Entrada CUSSR'!G$8:G$45)</f>
        <v>19645721.359000001</v>
      </c>
      <c r="E15" s="88">
        <f>SUMIF('Entrada CUSSR'!$E$8:$E$45,'Reliquidación CUSSR'!$B15,'Entrada CUSSR'!H$8:H$45)</f>
        <v>939957.41790657269</v>
      </c>
      <c r="F15" s="88">
        <v>0</v>
      </c>
      <c r="G15" s="89">
        <f t="shared" si="0"/>
        <v>0</v>
      </c>
      <c r="H15" s="88">
        <f t="shared" si="1"/>
        <v>0</v>
      </c>
      <c r="I15" s="88">
        <f t="shared" si="2"/>
        <v>939957.41790657269</v>
      </c>
      <c r="J15" s="86"/>
    </row>
    <row r="16" spans="2:10" x14ac:dyDescent="0.2">
      <c r="B16" s="87" t="s">
        <v>116</v>
      </c>
      <c r="C16" s="88">
        <f>SUMIF('Entrada CUSSR'!$E$8:$E$45,'Reliquidación CUSSR'!$B16,'Entrada CUSSR'!F$8:F$45)</f>
        <v>0</v>
      </c>
      <c r="D16" s="88">
        <f>SUMIF('Entrada CUSSR'!$E$8:$E$45,'Reliquidación CUSSR'!$B16,'Entrada CUSSR'!G$8:G$45)</f>
        <v>0</v>
      </c>
      <c r="E16" s="88">
        <f>SUMIF('Entrada CUSSR'!$E$8:$E$45,'Reliquidación CUSSR'!$B16,'Entrada CUSSR'!H$8:H$45)</f>
        <v>0</v>
      </c>
      <c r="F16" s="88">
        <v>0</v>
      </c>
      <c r="G16" s="89">
        <f t="shared" si="0"/>
        <v>0</v>
      </c>
      <c r="H16" s="88">
        <f t="shared" si="1"/>
        <v>0</v>
      </c>
      <c r="I16" s="88">
        <f t="shared" si="2"/>
        <v>0</v>
      </c>
      <c r="J16" s="86"/>
    </row>
    <row r="17" spans="2:10" x14ac:dyDescent="0.2">
      <c r="B17" s="87" t="s">
        <v>117</v>
      </c>
      <c r="C17" s="88">
        <f>SUMIF('Entrada CUSSR'!$E$8:$E$45,'Reliquidación CUSSR'!$B17,'Entrada CUSSR'!F$8:F$45)</f>
        <v>0</v>
      </c>
      <c r="D17" s="88">
        <f>SUMIF('Entrada CUSSR'!$E$8:$E$45,'Reliquidación CUSSR'!$B17,'Entrada CUSSR'!G$8:G$45)</f>
        <v>0</v>
      </c>
      <c r="E17" s="88">
        <f>SUMIF('Entrada CUSSR'!$E$8:$E$45,'Reliquidación CUSSR'!$B17,'Entrada CUSSR'!H$8:H$45)</f>
        <v>0</v>
      </c>
      <c r="F17" s="88">
        <v>0</v>
      </c>
      <c r="G17" s="89">
        <f t="shared" si="0"/>
        <v>0</v>
      </c>
      <c r="H17" s="88">
        <f t="shared" si="1"/>
        <v>0</v>
      </c>
      <c r="I17" s="88">
        <f t="shared" si="2"/>
        <v>0</v>
      </c>
      <c r="J17" s="86"/>
    </row>
    <row r="18" spans="2:10" x14ac:dyDescent="0.2">
      <c r="B18" s="87" t="s">
        <v>13</v>
      </c>
      <c r="C18" s="88">
        <f>SUMIF('Entrada CUSSR'!$E$8:$E$45,'Reliquidación CUSSR'!$B18,'Entrada CUSSR'!F$8:F$45)+SUMIF('Entrada CUSSR'!$E$8:$E$45,"LUZ ANDES",'Entrada CUSSR'!F$8:F$45)</f>
        <v>99737508.738999993</v>
      </c>
      <c r="D18" s="88">
        <f>SUMIF('Entrada CUSSR'!$E$8:$E$45,'Reliquidación CUSSR'!$B18,'Entrada CUSSR'!G$8:G$45)+SUMIF('Entrada CUSSR'!$E$8:$E$45,"LUZ ANDES",'Entrada CUSSR'!G$8:G$45)</f>
        <v>579636193.58700001</v>
      </c>
      <c r="E18" s="88">
        <f>SUMIF('Entrada CUSSR'!$E$8:$E$45,'Reliquidación CUSSR'!$B18,'Entrada CUSSR'!H$8:H$45)+SUMIF('Entrada CUSSR'!$E$8:$E$45,"LUZ ANDES",'Entrada CUSSR'!H$8:H$45)</f>
        <v>19928823.29935208</v>
      </c>
      <c r="F18" s="88">
        <v>-13680692</v>
      </c>
      <c r="G18" s="89">
        <f t="shared" si="0"/>
        <v>3.3433067493990096E-2</v>
      </c>
      <c r="H18" s="88">
        <f t="shared" si="1"/>
        <v>2137625.2986630597</v>
      </c>
      <c r="I18" s="88">
        <f t="shared" si="2"/>
        <v>17791198.000689019</v>
      </c>
      <c r="J18" s="86"/>
    </row>
    <row r="19" spans="2:10" x14ac:dyDescent="0.2">
      <c r="B19" s="87" t="s">
        <v>118</v>
      </c>
      <c r="C19" s="88">
        <f>SUMIF('Entrada CUSSR'!$E$8:$E$45,'Reliquidación CUSSR'!$B19,'Entrada CUSSR'!F$8:F$45)</f>
        <v>36115044.516000003</v>
      </c>
      <c r="D19" s="88">
        <f>SUMIF('Entrada CUSSR'!$E$8:$E$45,'Reliquidación CUSSR'!$B19,'Entrada CUSSR'!G$8:G$45)</f>
        <v>67120981.821999997</v>
      </c>
      <c r="E19" s="88">
        <f>SUMIF('Entrada CUSSR'!$E$8:$E$45,'Reliquidación CUSSR'!$B19,'Entrada CUSSR'!H$8:H$45)</f>
        <v>3123432.1362358918</v>
      </c>
      <c r="F19" s="88">
        <v>0</v>
      </c>
      <c r="G19" s="89">
        <f t="shared" si="0"/>
        <v>0</v>
      </c>
      <c r="H19" s="88">
        <f t="shared" si="1"/>
        <v>0</v>
      </c>
      <c r="I19" s="88">
        <f t="shared" si="2"/>
        <v>3123432.1362358918</v>
      </c>
      <c r="J19" s="86"/>
    </row>
    <row r="20" spans="2:10" x14ac:dyDescent="0.2">
      <c r="B20" s="87" t="s">
        <v>119</v>
      </c>
      <c r="C20" s="88">
        <f>SUMIF('Entrada CUSSR'!$E$8:$E$45,'Reliquidación CUSSR'!$B20,'Entrada CUSSR'!F$8:F$45)</f>
        <v>3546002.7880000002</v>
      </c>
      <c r="D20" s="88">
        <f>SUMIF('Entrada CUSSR'!$E$8:$E$45,'Reliquidación CUSSR'!$B20,'Entrada CUSSR'!G$8:G$45)</f>
        <v>17843777.791000001</v>
      </c>
      <c r="E20" s="88">
        <f>SUMIF('Entrada CUSSR'!$E$8:$E$45,'Reliquidación CUSSR'!$B20,'Entrada CUSSR'!H$8:H$45)</f>
        <v>659608.23724834656</v>
      </c>
      <c r="F20" s="88">
        <v>0</v>
      </c>
      <c r="G20" s="89">
        <f t="shared" si="0"/>
        <v>0</v>
      </c>
      <c r="H20" s="88">
        <f t="shared" si="1"/>
        <v>0</v>
      </c>
      <c r="I20" s="88">
        <f t="shared" si="2"/>
        <v>659608.23724834656</v>
      </c>
      <c r="J20" s="86"/>
    </row>
    <row r="21" spans="2:10" x14ac:dyDescent="0.2">
      <c r="B21" s="87" t="s">
        <v>120</v>
      </c>
      <c r="C21" s="88">
        <f>SUMIF('Entrada CUSSR'!$E$8:$E$45,'Reliquidación CUSSR'!$B21,'Entrada CUSSR'!F$8:F$45)</f>
        <v>0</v>
      </c>
      <c r="D21" s="88">
        <f>SUMIF('Entrada CUSSR'!$E$8:$E$45,'Reliquidación CUSSR'!$B21,'Entrada CUSSR'!G$8:G$45)</f>
        <v>0</v>
      </c>
      <c r="E21" s="88">
        <f>SUMIF('Entrada CUSSR'!$E$8:$E$45,'Reliquidación CUSSR'!$B21,'Entrada CUSSR'!H$8:H$45)</f>
        <v>0</v>
      </c>
      <c r="F21" s="88">
        <v>0</v>
      </c>
      <c r="G21" s="89">
        <f t="shared" si="0"/>
        <v>0</v>
      </c>
      <c r="H21" s="88">
        <f t="shared" si="1"/>
        <v>0</v>
      </c>
      <c r="I21" s="88">
        <f t="shared" si="2"/>
        <v>0</v>
      </c>
      <c r="J21" s="86"/>
    </row>
    <row r="22" spans="2:10" x14ac:dyDescent="0.2">
      <c r="B22" s="87" t="s">
        <v>22</v>
      </c>
      <c r="C22" s="88">
        <f>SUMIF('Entrada CUSSR'!$E$8:$E$45,'Reliquidación CUSSR'!$B22,'Entrada CUSSR'!F$8:F$45)</f>
        <v>1340082</v>
      </c>
      <c r="D22" s="88">
        <f>SUMIF('Entrada CUSSR'!$E$8:$E$45,'Reliquidación CUSSR'!$B22,'Entrada CUSSR'!G$8:G$45)</f>
        <v>7838468</v>
      </c>
      <c r="E22" s="88">
        <f>SUMIF('Entrada CUSSR'!$E$8:$E$45,'Reliquidación CUSSR'!$B22,'Entrada CUSSR'!H$8:H$45)</f>
        <v>283268.17381328263</v>
      </c>
      <c r="F22" s="88">
        <v>-442245.18000000005</v>
      </c>
      <c r="G22" s="89">
        <f t="shared" si="0"/>
        <v>1.0807649899458155E-3</v>
      </c>
      <c r="H22" s="88">
        <f t="shared" si="1"/>
        <v>69101.364534761742</v>
      </c>
      <c r="I22" s="88">
        <f t="shared" si="2"/>
        <v>214166.80927852087</v>
      </c>
      <c r="J22" s="86"/>
    </row>
    <row r="23" spans="2:10" x14ac:dyDescent="0.2">
      <c r="B23" s="87" t="s">
        <v>21</v>
      </c>
      <c r="C23" s="88">
        <f>SUMIF('Entrada CUSSR'!$E$8:$E$45,'Reliquidación CUSSR'!$B23,'Entrada CUSSR'!F$8:F$45)</f>
        <v>6403665</v>
      </c>
      <c r="D23" s="88">
        <f>SUMIF('Entrada CUSSR'!$E$8:$E$45,'Reliquidación CUSSR'!$B23,'Entrada CUSSR'!G$8:G$45)</f>
        <v>12660966</v>
      </c>
      <c r="E23" s="88">
        <f>SUMIF('Entrada CUSSR'!$E$8:$E$45,'Reliquidación CUSSR'!$B23,'Entrada CUSSR'!H$8:H$45)</f>
        <v>590716.05473677104</v>
      </c>
      <c r="F23" s="88">
        <v>-12176379</v>
      </c>
      <c r="G23" s="89">
        <f t="shared" si="0"/>
        <v>2.9756806230226043E-2</v>
      </c>
      <c r="H23" s="88">
        <f t="shared" si="1"/>
        <v>1902574.5040170196</v>
      </c>
      <c r="I23" s="88">
        <f t="shared" si="2"/>
        <v>-1311858.4492802485</v>
      </c>
      <c r="J23" s="86"/>
    </row>
    <row r="24" spans="2:10" x14ac:dyDescent="0.2">
      <c r="B24" s="87" t="s">
        <v>28</v>
      </c>
      <c r="C24" s="88">
        <f>SUMIF('Entrada CUSSR'!$E$8:$E$45,'Reliquidación CUSSR'!$B24,'Entrada CUSSR'!F$8:F$45)</f>
        <v>1672175</v>
      </c>
      <c r="D24" s="88">
        <f>SUMIF('Entrada CUSSR'!$E$8:$E$45,'Reliquidación CUSSR'!$B24,'Entrada CUSSR'!G$8:G$45)</f>
        <v>13546908</v>
      </c>
      <c r="E24" s="88">
        <f>SUMIF('Entrada CUSSR'!$E$8:$E$45,'Reliquidación CUSSR'!$B24,'Entrada CUSSR'!H$8:H$45)</f>
        <v>455081.27995254402</v>
      </c>
      <c r="F24" s="88">
        <v>0</v>
      </c>
      <c r="G24" s="89">
        <f t="shared" si="0"/>
        <v>0</v>
      </c>
      <c r="H24" s="88">
        <f t="shared" si="1"/>
        <v>0</v>
      </c>
      <c r="I24" s="88">
        <f t="shared" si="2"/>
        <v>455081.27995254402</v>
      </c>
      <c r="J24" s="86"/>
    </row>
    <row r="25" spans="2:10" x14ac:dyDescent="0.2">
      <c r="B25" s="87" t="s">
        <v>20</v>
      </c>
      <c r="C25" s="88">
        <f>SUMIF('Entrada CUSSR'!$E$8:$E$45,'Reliquidación CUSSR'!$B25,'Entrada CUSSR'!F$8:F$45)</f>
        <v>415252</v>
      </c>
      <c r="D25" s="88">
        <f>SUMIF('Entrada CUSSR'!$E$8:$E$45,'Reliquidación CUSSR'!$B25,'Entrada CUSSR'!G$8:G$45)</f>
        <v>2739791</v>
      </c>
      <c r="E25" s="88">
        <f>SUMIF('Entrada CUSSR'!$E$8:$E$45,'Reliquidación CUSSR'!$B25,'Entrada CUSSR'!H$8:H$45)</f>
        <v>103959.5670132471</v>
      </c>
      <c r="F25" s="88">
        <v>-3354390</v>
      </c>
      <c r="G25" s="89">
        <f t="shared" si="0"/>
        <v>8.1975054530257253E-3</v>
      </c>
      <c r="H25" s="88">
        <f t="shared" si="1"/>
        <v>524127.64833696862</v>
      </c>
      <c r="I25" s="88">
        <f t="shared" si="2"/>
        <v>-420168.0813237215</v>
      </c>
      <c r="J25" s="86"/>
    </row>
    <row r="26" spans="2:10" x14ac:dyDescent="0.2">
      <c r="B26" s="87" t="s">
        <v>43</v>
      </c>
      <c r="C26" s="88">
        <f>SUMIF('Entrada CUSSR'!$E$8:$E$45,'Reliquidación CUSSR'!$B26,'Entrada CUSSR'!F$8:F$45)</f>
        <v>1101853</v>
      </c>
      <c r="D26" s="88">
        <f>SUMIF('Entrada CUSSR'!$E$8:$E$45,'Reliquidación CUSSR'!$B26,'Entrada CUSSR'!G$8:G$45)</f>
        <v>2017898</v>
      </c>
      <c r="E26" s="88">
        <f>SUMIF('Entrada CUSSR'!$E$8:$E$45,'Reliquidación CUSSR'!$B26,'Entrada CUSSR'!H$8:H$45)</f>
        <v>96532.379427513122</v>
      </c>
      <c r="F26" s="88">
        <v>-6202683</v>
      </c>
      <c r="G26" s="89">
        <f t="shared" si="0"/>
        <v>1.5158203940475011E-2</v>
      </c>
      <c r="H26" s="88">
        <f t="shared" si="1"/>
        <v>969177.00510963064</v>
      </c>
      <c r="I26" s="88">
        <f t="shared" si="2"/>
        <v>-872644.62568211753</v>
      </c>
      <c r="J26" s="86"/>
    </row>
    <row r="27" spans="2:10" x14ac:dyDescent="0.2">
      <c r="B27" s="87" t="s">
        <v>18</v>
      </c>
      <c r="C27" s="88">
        <f>SUMIF('Entrada CUSSR'!$E$8:$E$45,'Reliquidación CUSSR'!$B27,'Entrada CUSSR'!F$8:F$45)</f>
        <v>1776419</v>
      </c>
      <c r="D27" s="88">
        <f>SUMIF('Entrada CUSSR'!$E$8:$E$45,'Reliquidación CUSSR'!$B27,'Entrada CUSSR'!G$8:G$45)</f>
        <v>5939205</v>
      </c>
      <c r="E27" s="88">
        <f>SUMIF('Entrada CUSSR'!$E$8:$E$45,'Reliquidación CUSSR'!$B27,'Entrada CUSSR'!H$8:H$45)</f>
        <v>236702.04936311359</v>
      </c>
      <c r="F27" s="88">
        <v>-3440153</v>
      </c>
      <c r="G27" s="89">
        <f t="shared" si="0"/>
        <v>8.4070942784657751E-3</v>
      </c>
      <c r="H27" s="88">
        <f t="shared" si="1"/>
        <v>537528.22474708303</v>
      </c>
      <c r="I27" s="88">
        <f t="shared" si="2"/>
        <v>-300826.17538396944</v>
      </c>
      <c r="J27" s="86"/>
    </row>
    <row r="28" spans="2:10" x14ac:dyDescent="0.2">
      <c r="B28" s="87" t="s">
        <v>35</v>
      </c>
      <c r="C28" s="88">
        <f>SUMIF('Entrada CUSSR'!$E$8:$E$45,'Reliquidación CUSSR'!$B28,'Entrada CUSSR'!F$8:F$45)</f>
        <v>18146722.66</v>
      </c>
      <c r="D28" s="88">
        <f>SUMIF('Entrada CUSSR'!$E$8:$E$45,'Reliquidación CUSSR'!$B28,'Entrada CUSSR'!G$8:G$45)</f>
        <v>65344272.25</v>
      </c>
      <c r="E28" s="88">
        <f>SUMIF('Entrada CUSSR'!$E$8:$E$45,'Reliquidación CUSSR'!$B28,'Entrada CUSSR'!H$8:H$45)</f>
        <v>2613453.0838794028</v>
      </c>
      <c r="F28" s="88">
        <v>-20733529</v>
      </c>
      <c r="G28" s="89">
        <f t="shared" si="0"/>
        <v>5.0668889734934525E-2</v>
      </c>
      <c r="H28" s="88">
        <f t="shared" si="1"/>
        <v>3239639.9334890521</v>
      </c>
      <c r="I28" s="88">
        <f t="shared" si="2"/>
        <v>-626186.84960964927</v>
      </c>
      <c r="J28" s="86"/>
    </row>
    <row r="29" spans="2:10" x14ac:dyDescent="0.2">
      <c r="B29" s="87" t="s">
        <v>38</v>
      </c>
      <c r="C29" s="88">
        <f>SUMIF('Entrada CUSSR'!$E$8:$E$45,'Reliquidación CUSSR'!$B29,'Entrada CUSSR'!F$8:F$45)</f>
        <v>7623977.3300000001</v>
      </c>
      <c r="D29" s="88">
        <f>SUMIF('Entrada CUSSR'!$E$8:$E$45,'Reliquidación CUSSR'!$B29,'Entrada CUSSR'!G$8:G$45)</f>
        <v>6686820.3399999999</v>
      </c>
      <c r="E29" s="88">
        <f>SUMIF('Entrada CUSSR'!$E$8:$E$45,'Reliquidación CUSSR'!$B29,'Entrada CUSSR'!H$8:H$45)</f>
        <v>434871.48633989808</v>
      </c>
      <c r="F29" s="88">
        <v>-4639688</v>
      </c>
      <c r="G29" s="89">
        <f t="shared" si="0"/>
        <v>1.1338534779896799E-2</v>
      </c>
      <c r="H29" s="88">
        <f t="shared" si="1"/>
        <v>724957.07429883035</v>
      </c>
      <c r="I29" s="88">
        <f t="shared" si="2"/>
        <v>-290085.58795893227</v>
      </c>
      <c r="J29" s="86"/>
    </row>
    <row r="30" spans="2:10" x14ac:dyDescent="0.2">
      <c r="B30" s="87" t="s">
        <v>42</v>
      </c>
      <c r="C30" s="88">
        <f>SUMIF('Entrada CUSSR'!$E$8:$E$45,'Reliquidación CUSSR'!$B30,'Entrada CUSSR'!F$8:F$45)</f>
        <v>39086898.990000002</v>
      </c>
      <c r="D30" s="88">
        <f>SUMIF('Entrada CUSSR'!$E$8:$E$45,'Reliquidación CUSSR'!$B30,'Entrada CUSSR'!G$8:G$45)</f>
        <v>116325295.42</v>
      </c>
      <c r="E30" s="88">
        <f>SUMIF('Entrada CUSSR'!$E$8:$E$45,'Reliquidación CUSSR'!$B30,'Entrada CUSSR'!H$8:H$45)</f>
        <v>4569233.6971774669</v>
      </c>
      <c r="F30" s="88">
        <v>-37233066</v>
      </c>
      <c r="G30" s="89">
        <f t="shared" si="0"/>
        <v>9.0990690279862133E-2</v>
      </c>
      <c r="H30" s="88">
        <f t="shared" si="1"/>
        <v>5817713.3019580739</v>
      </c>
      <c r="I30" s="88">
        <f t="shared" si="2"/>
        <v>-1248479.6047806069</v>
      </c>
      <c r="J30" s="86"/>
    </row>
    <row r="31" spans="2:10" x14ac:dyDescent="0.2">
      <c r="B31" s="87" t="s">
        <v>15</v>
      </c>
      <c r="C31" s="88">
        <f>SUMIF('Entrada CUSSR'!$E$8:$E$45,'Reliquidación CUSSR'!$B31,'Entrada CUSSR'!F$8:F$45)</f>
        <v>1783537</v>
      </c>
      <c r="D31" s="88">
        <f>SUMIF('Entrada CUSSR'!$E$8:$E$45,'Reliquidación CUSSR'!$B31,'Entrada CUSSR'!G$8:G$45)</f>
        <v>2968035</v>
      </c>
      <c r="E31" s="88">
        <f>SUMIF('Entrada CUSSR'!$E$8:$E$45,'Reliquidación CUSSR'!$B31,'Entrada CUSSR'!H$8:H$45)</f>
        <v>144266.28882070721</v>
      </c>
      <c r="F31" s="88">
        <v>-2626977.9330000002</v>
      </c>
      <c r="G31" s="89">
        <f t="shared" si="0"/>
        <v>6.4198456144770738E-3</v>
      </c>
      <c r="H31" s="88">
        <f t="shared" si="1"/>
        <v>410468.59973241063</v>
      </c>
      <c r="I31" s="88">
        <f t="shared" si="2"/>
        <v>-266202.31091170339</v>
      </c>
      <c r="J31" s="86"/>
    </row>
    <row r="32" spans="2:10" x14ac:dyDescent="0.2">
      <c r="B32" s="87" t="s">
        <v>14</v>
      </c>
      <c r="C32" s="88">
        <f>SUMIF('Entrada CUSSR'!$E$8:$E$45,'Reliquidación CUSSR'!$B32,'Entrada CUSSR'!F$8:F$45)</f>
        <v>36273940.112099998</v>
      </c>
      <c r="D32" s="88">
        <f>SUMIF('Entrada CUSSR'!$E$8:$E$45,'Reliquidación CUSSR'!$B32,'Entrada CUSSR'!G$8:G$45)</f>
        <v>128248876.10401</v>
      </c>
      <c r="E32" s="88">
        <f>SUMIF('Entrada CUSSR'!$E$8:$E$45,'Reliquidación CUSSR'!$B32,'Entrada CUSSR'!H$8:H$45)</f>
        <v>5165823.5847617751</v>
      </c>
      <c r="F32" s="88">
        <v>-44498318</v>
      </c>
      <c r="G32" s="89">
        <f t="shared" si="0"/>
        <v>0.10874561528488721</v>
      </c>
      <c r="H32" s="88">
        <f t="shared" si="1"/>
        <v>6952918.0471831253</v>
      </c>
      <c r="I32" s="88">
        <f t="shared" si="2"/>
        <v>-1787094.4624213502</v>
      </c>
      <c r="J32" s="86"/>
    </row>
    <row r="33" spans="2:10" x14ac:dyDescent="0.2">
      <c r="B33" s="87" t="s">
        <v>24</v>
      </c>
      <c r="C33" s="88">
        <f>SUMIF('Entrada CUSSR'!$E$8:$E$45,'Reliquidación CUSSR'!$B33,'Entrada CUSSR'!F$8:F$45)</f>
        <v>1423339.4</v>
      </c>
      <c r="D33" s="88">
        <f>SUMIF('Entrada CUSSR'!$E$8:$E$45,'Reliquidación CUSSR'!$B33,'Entrada CUSSR'!G$8:G$45)</f>
        <v>2691623.3</v>
      </c>
      <c r="E33" s="88">
        <f>SUMIF('Entrada CUSSR'!$E$8:$E$45,'Reliquidación CUSSR'!$B33,'Entrada CUSSR'!H$8:H$45)</f>
        <v>122717.2794571195</v>
      </c>
      <c r="F33" s="88">
        <v>-1774820</v>
      </c>
      <c r="G33" s="89">
        <f t="shared" si="0"/>
        <v>4.3373300743619909E-3</v>
      </c>
      <c r="H33" s="88">
        <f t="shared" si="1"/>
        <v>277317.85296921904</v>
      </c>
      <c r="I33" s="88">
        <f t="shared" si="2"/>
        <v>-154600.57351209954</v>
      </c>
      <c r="J33" s="86"/>
    </row>
    <row r="34" spans="2:10" x14ac:dyDescent="0.2">
      <c r="B34" s="87" t="s">
        <v>36</v>
      </c>
      <c r="C34" s="88">
        <f>SUMIF('Entrada CUSSR'!$E$8:$E$45,'Reliquidación CUSSR'!$B34,'Entrada CUSSR'!F$8:F$45)</f>
        <v>1276707</v>
      </c>
      <c r="D34" s="88">
        <f>SUMIF('Entrada CUSSR'!$E$8:$E$45,'Reliquidación CUSSR'!$B34,'Entrada CUSSR'!G$8:G$45)</f>
        <v>8790443.6421000008</v>
      </c>
      <c r="E34" s="88">
        <f>SUMIF('Entrada CUSSR'!$E$8:$E$45,'Reliquidación CUSSR'!$B34,'Entrada CUSSR'!H$8:H$45)</f>
        <v>298369.01251670689</v>
      </c>
      <c r="F34" s="88">
        <v>-1386934</v>
      </c>
      <c r="G34" s="89">
        <f t="shared" si="0"/>
        <v>3.3894088129247887E-3</v>
      </c>
      <c r="H34" s="88">
        <f t="shared" si="1"/>
        <v>216710.17854768984</v>
      </c>
      <c r="I34" s="88">
        <f t="shared" si="2"/>
        <v>81658.833969017054</v>
      </c>
      <c r="J34" s="86"/>
    </row>
    <row r="35" spans="2:10" x14ac:dyDescent="0.2">
      <c r="B35" s="87" t="s">
        <v>39</v>
      </c>
      <c r="C35" s="88">
        <f>SUMIF('Entrada CUSSR'!$E$8:$E$45,'Reliquidación CUSSR'!$B35,'Entrada CUSSR'!F$8:F$45)</f>
        <v>4811501.0999999996</v>
      </c>
      <c r="D35" s="88">
        <f>SUMIF('Entrada CUSSR'!$E$8:$E$45,'Reliquidación CUSSR'!$B35,'Entrada CUSSR'!G$8:G$45)</f>
        <v>5595383.0766000003</v>
      </c>
      <c r="E35" s="88">
        <f>SUMIF('Entrada CUSSR'!$E$8:$E$45,'Reliquidación CUSSR'!$B35,'Entrada CUSSR'!H$8:H$45)</f>
        <v>318329.39714144531</v>
      </c>
      <c r="F35" s="88">
        <v>-13816754</v>
      </c>
      <c r="G35" s="89">
        <f t="shared" si="0"/>
        <v>3.3765577722958573E-2</v>
      </c>
      <c r="H35" s="88">
        <f t="shared" si="1"/>
        <v>2158885.1569645763</v>
      </c>
      <c r="I35" s="88">
        <f t="shared" si="2"/>
        <v>-1840555.7598231309</v>
      </c>
      <c r="J35" s="86"/>
    </row>
    <row r="36" spans="2:10" x14ac:dyDescent="0.2">
      <c r="B36" s="87" t="s">
        <v>40</v>
      </c>
      <c r="C36" s="88">
        <f>SUMIF('Entrada CUSSR'!$E$8:$E$45,'Reliquidación CUSSR'!$B36,'Entrada CUSSR'!F$8:F$45)</f>
        <v>4149649.6000999999</v>
      </c>
      <c r="D36" s="88">
        <f>SUMIF('Entrada CUSSR'!$E$8:$E$45,'Reliquidación CUSSR'!$B36,'Entrada CUSSR'!G$8:G$45)</f>
        <v>4140508.7782999999</v>
      </c>
      <c r="E36" s="88">
        <f>SUMIF('Entrada CUSSR'!$E$8:$E$45,'Reliquidación CUSSR'!$B36,'Entrada CUSSR'!H$8:H$45)</f>
        <v>261098.7643757216</v>
      </c>
      <c r="F36" s="88">
        <v>-6006815</v>
      </c>
      <c r="G36" s="89">
        <f t="shared" si="0"/>
        <v>1.4679538967686144E-2</v>
      </c>
      <c r="H36" s="88">
        <f t="shared" si="1"/>
        <v>938572.38423237263</v>
      </c>
      <c r="I36" s="88">
        <f t="shared" si="2"/>
        <v>-677473.61985665106</v>
      </c>
      <c r="J36" s="86"/>
    </row>
    <row r="37" spans="2:10" x14ac:dyDescent="0.2">
      <c r="B37" s="87" t="s">
        <v>121</v>
      </c>
      <c r="C37" s="88">
        <f>SUMIF('Entrada CUSSR'!$E$8:$E$45,'Reliquidación CUSSR'!$B37,'Entrada CUSSR'!F$8:F$45)</f>
        <v>615895</v>
      </c>
      <c r="D37" s="88">
        <f>SUMIF('Entrada CUSSR'!$E$8:$E$45,'Reliquidación CUSSR'!$B37,'Entrada CUSSR'!G$8:G$45)</f>
        <v>789659</v>
      </c>
      <c r="E37" s="88">
        <f>SUMIF('Entrada CUSSR'!$E$8:$E$45,'Reliquidación CUSSR'!$B37,'Entrada CUSSR'!H$8:H$45)</f>
        <v>44832.369819676882</v>
      </c>
      <c r="F37" s="88">
        <v>0</v>
      </c>
      <c r="G37" s="89">
        <f t="shared" si="0"/>
        <v>0</v>
      </c>
      <c r="H37" s="88">
        <f t="shared" si="1"/>
        <v>0</v>
      </c>
      <c r="I37" s="88">
        <f t="shared" si="2"/>
        <v>44832.369819676882</v>
      </c>
      <c r="J37" s="86"/>
    </row>
    <row r="38" spans="2:10" x14ac:dyDescent="0.2">
      <c r="B38" s="87" t="s">
        <v>32</v>
      </c>
      <c r="C38" s="88">
        <f>SUMIF('Entrada CUSSR'!$E$8:$E$45,'Reliquidación CUSSR'!$B38,'Entrada CUSSR'!F$8:F$45)</f>
        <v>4020505.8080000002</v>
      </c>
      <c r="D38" s="88">
        <f>SUMIF('Entrada CUSSR'!$E$8:$E$45,'Reliquidación CUSSR'!$B38,'Entrada CUSSR'!G$8:G$45)</f>
        <v>17385830.765000001</v>
      </c>
      <c r="E38" s="88">
        <f>SUMIF('Entrada CUSSR'!$E$8:$E$45,'Reliquidación CUSSR'!$B38,'Entrada CUSSR'!H$8:H$45)</f>
        <v>659425.13309147221</v>
      </c>
      <c r="F38" s="88">
        <v>0</v>
      </c>
      <c r="G38" s="89">
        <f t="shared" si="0"/>
        <v>0</v>
      </c>
      <c r="H38" s="88">
        <f t="shared" si="1"/>
        <v>0</v>
      </c>
      <c r="I38" s="88">
        <f t="shared" si="2"/>
        <v>659425.13309147221</v>
      </c>
      <c r="J38" s="86"/>
    </row>
    <row r="39" spans="2:10" x14ac:dyDescent="0.2">
      <c r="B39" s="87" t="s">
        <v>31</v>
      </c>
      <c r="C39" s="88">
        <f>SUMIF('Entrada CUSSR'!$E$8:$E$45,'Reliquidación CUSSR'!$B39,'Entrada CUSSR'!F$8:F$45)</f>
        <v>5415989.6499999994</v>
      </c>
      <c r="D39" s="88">
        <f>SUMIF('Entrada CUSSR'!$E$8:$E$45,'Reliquidación CUSSR'!$B39,'Entrada CUSSR'!G$8:G$45)</f>
        <v>26615885.381000001</v>
      </c>
      <c r="E39" s="88">
        <f>SUMIF('Entrada CUSSR'!$E$8:$E$45,'Reliquidación CUSSR'!$B39,'Entrada CUSSR'!H$8:H$45)</f>
        <v>978304.68235031085</v>
      </c>
      <c r="F39" s="88">
        <v>0</v>
      </c>
      <c r="G39" s="89">
        <f t="shared" si="0"/>
        <v>0</v>
      </c>
      <c r="H39" s="88">
        <f t="shared" si="1"/>
        <v>0</v>
      </c>
      <c r="I39" s="88">
        <f t="shared" si="2"/>
        <v>978304.68235031085</v>
      </c>
      <c r="J39" s="86"/>
    </row>
    <row r="40" spans="2:10" x14ac:dyDescent="0.2">
      <c r="B40" s="87" t="s">
        <v>30</v>
      </c>
      <c r="C40" s="88">
        <f>SUMIF('Entrada CUSSR'!$E$8:$E$45,'Reliquidación CUSSR'!$B40,'Entrada CUSSR'!F$8:F$45)</f>
        <v>12467732.339</v>
      </c>
      <c r="D40" s="88">
        <f>SUMIF('Entrada CUSSR'!$E$8:$E$45,'Reliquidación CUSSR'!$B40,'Entrada CUSSR'!G$8:G$45)</f>
        <v>48478175.480999999</v>
      </c>
      <c r="E40" s="88">
        <f>SUMIF('Entrada CUSSR'!$E$8:$E$45,'Reliquidación CUSSR'!$B40,'Entrada CUSSR'!H$8:H$45)</f>
        <v>1875513.919634447</v>
      </c>
      <c r="F40" s="88">
        <v>0</v>
      </c>
      <c r="G40" s="89">
        <f t="shared" si="0"/>
        <v>0</v>
      </c>
      <c r="H40" s="88">
        <f t="shared" si="1"/>
        <v>0</v>
      </c>
      <c r="I40" s="88">
        <f t="shared" si="2"/>
        <v>1875513.919634447</v>
      </c>
      <c r="J40" s="86"/>
    </row>
    <row r="41" spans="2:10" x14ac:dyDescent="0.2">
      <c r="B41" s="87" t="s">
        <v>19</v>
      </c>
      <c r="C41" s="88">
        <f>SUMIF('Entrada CUSSR'!$E$8:$E$45,'Reliquidación CUSSR'!$B41,'Entrada CUSSR'!F$8:F$45)</f>
        <v>0</v>
      </c>
      <c r="D41" s="88">
        <f>SUMIF('Entrada CUSSR'!$E$8:$E$45,'Reliquidación CUSSR'!$B41,'Entrada CUSSR'!G$8:G$45)</f>
        <v>0</v>
      </c>
      <c r="E41" s="88">
        <f>SUMIF('Entrada CUSSR'!$E$8:$E$45,'Reliquidación CUSSR'!$B41,'Entrada CUSSR'!H$8:H$45)</f>
        <v>0</v>
      </c>
      <c r="F41" s="88">
        <v>0</v>
      </c>
      <c r="G41" s="89">
        <f t="shared" si="0"/>
        <v>0</v>
      </c>
      <c r="H41" s="88">
        <f t="shared" si="1"/>
        <v>0</v>
      </c>
      <c r="I41" s="88">
        <f t="shared" si="2"/>
        <v>0</v>
      </c>
      <c r="J41" s="86"/>
    </row>
    <row r="42" spans="2:10" x14ac:dyDescent="0.2">
      <c r="B42" s="87" t="s">
        <v>23</v>
      </c>
      <c r="C42" s="88">
        <f>SUMIF('Entrada CUSSR'!$E$8:$E$45,'Reliquidación CUSSR'!$B42,'Entrada CUSSR'!F$8:F$45)</f>
        <v>0</v>
      </c>
      <c r="D42" s="88">
        <f>SUMIF('Entrada CUSSR'!$E$8:$E$45,'Reliquidación CUSSR'!$B42,'Entrada CUSSR'!G$8:G$45)</f>
        <v>7376</v>
      </c>
      <c r="E42" s="88">
        <f>SUMIF('Entrada CUSSR'!$E$8:$E$45,'Reliquidación CUSSR'!$B42,'Entrada CUSSR'!H$8:H$45)</f>
        <v>240.60718528000001</v>
      </c>
      <c r="F42" s="88">
        <v>0</v>
      </c>
      <c r="G42" s="89">
        <f t="shared" si="0"/>
        <v>0</v>
      </c>
      <c r="H42" s="88">
        <f t="shared" si="1"/>
        <v>0</v>
      </c>
      <c r="I42" s="88">
        <f t="shared" si="2"/>
        <v>240.60718528000001</v>
      </c>
      <c r="J42" s="86"/>
    </row>
    <row r="43" spans="2:10" x14ac:dyDescent="0.2">
      <c r="B43" s="87" t="s">
        <v>25</v>
      </c>
      <c r="C43" s="88">
        <f>SUMIF('Entrada CUSSR'!$E$8:$E$45,'Reliquidación CUSSR'!$B43,'Entrada CUSSR'!F$8:F$45)</f>
        <v>5075044.74</v>
      </c>
      <c r="D43" s="88">
        <f>SUMIF('Entrada CUSSR'!$E$8:$E$45,'Reliquidación CUSSR'!$B43,'Entrada CUSSR'!G$8:G$45)</f>
        <v>12329238.789999999</v>
      </c>
      <c r="E43" s="88">
        <f>SUMIF('Entrada CUSSR'!$E$8:$E$45,'Reliquidación CUSSR'!$B43,'Entrada CUSSR'!H$8:H$45)</f>
        <v>533240.27992525254</v>
      </c>
      <c r="F43" s="88">
        <v>-2180486</v>
      </c>
      <c r="G43" s="89">
        <f t="shared" si="0"/>
        <v>5.3287023498299994E-3</v>
      </c>
      <c r="H43" s="88">
        <f t="shared" si="1"/>
        <v>340703.67471035966</v>
      </c>
      <c r="I43" s="88">
        <f t="shared" si="2"/>
        <v>192536.60521489289</v>
      </c>
      <c r="J43" s="86"/>
    </row>
    <row r="44" spans="2:10" x14ac:dyDescent="0.2">
      <c r="B44" s="87" t="s">
        <v>26</v>
      </c>
      <c r="C44" s="88">
        <f>SUMIF('Entrada CUSSR'!$E$8:$E$45,'Reliquidación CUSSR'!$B44,'Entrada CUSSR'!F$8:F$45)</f>
        <v>12193525.536</v>
      </c>
      <c r="D44" s="88">
        <f>SUMIF('Entrada CUSSR'!$E$8:$E$45,'Reliquidación CUSSR'!$B44,'Entrada CUSSR'!G$8:G$45)</f>
        <v>16771730.183</v>
      </c>
      <c r="E44" s="88">
        <f>SUMIF('Entrada CUSSR'!$E$8:$E$45,'Reliquidación CUSSR'!$B44,'Entrada CUSSR'!H$8:H$45)</f>
        <v>872263.1150621319</v>
      </c>
      <c r="F44" s="88">
        <v>-222159</v>
      </c>
      <c r="G44" s="89">
        <f t="shared" si="0"/>
        <v>5.429152883053975E-4</v>
      </c>
      <c r="H44" s="88">
        <f t="shared" si="1"/>
        <v>34712.622630908343</v>
      </c>
      <c r="I44" s="88">
        <f t="shared" si="2"/>
        <v>837550.49243122351</v>
      </c>
      <c r="J44" s="86"/>
    </row>
    <row r="45" spans="2:10" x14ac:dyDescent="0.2">
      <c r="B45" s="90" t="s">
        <v>41</v>
      </c>
      <c r="C45" s="91">
        <f>SUMIF('Entrada CUSSR'!$E$8:$E$45,'Reliquidación CUSSR'!$B45,'Entrada CUSSR'!F$8:F$45)</f>
        <v>30000.9</v>
      </c>
      <c r="D45" s="91">
        <f>SUMIF('Entrada CUSSR'!$E$8:$E$45,'Reliquidación CUSSR'!$B45,'Entrada CUSSR'!G$8:G$45)</f>
        <v>49706.2</v>
      </c>
      <c r="E45" s="91">
        <f>SUMIF('Entrada CUSSR'!$E$8:$E$45,'Reliquidación CUSSR'!$B45,'Entrada CUSSR'!H$8:H$45)</f>
        <v>2478.7924338033358</v>
      </c>
      <c r="F45" s="91">
        <v>0</v>
      </c>
      <c r="G45" s="92">
        <f t="shared" si="0"/>
        <v>0</v>
      </c>
      <c r="H45" s="91">
        <f t="shared" si="1"/>
        <v>0</v>
      </c>
      <c r="I45" s="91">
        <f t="shared" si="2"/>
        <v>2478.7924338033358</v>
      </c>
      <c r="J45" s="86"/>
    </row>
    <row r="46" spans="2:10" x14ac:dyDescent="0.2">
      <c r="B46" s="93" t="s">
        <v>126</v>
      </c>
      <c r="C46" s="69">
        <f t="shared" ref="C46:I46" si="3">SUM(C9:C45)</f>
        <v>474218106.35019994</v>
      </c>
      <c r="D46" s="69">
        <f t="shared" si="3"/>
        <v>1649664550.2796113</v>
      </c>
      <c r="E46" s="69">
        <f t="shared" si="3"/>
        <v>63937456.503125772</v>
      </c>
      <c r="F46" s="69">
        <f t="shared" si="3"/>
        <v>-409196434.11300004</v>
      </c>
      <c r="G46" s="94">
        <f t="shared" si="3"/>
        <v>0.99999999999999989</v>
      </c>
      <c r="H46" s="69">
        <f t="shared" si="3"/>
        <v>63937456.503125772</v>
      </c>
      <c r="I46" s="69">
        <f t="shared" si="3"/>
        <v>3.276454663136974E-9</v>
      </c>
    </row>
    <row r="47" spans="2:10" x14ac:dyDescent="0.2">
      <c r="B47" s="95"/>
    </row>
    <row r="49" spans="5:8" x14ac:dyDescent="0.2">
      <c r="F49" s="96"/>
      <c r="G49" s="61"/>
      <c r="H49" s="61"/>
    </row>
    <row r="50" spans="5:8" x14ac:dyDescent="0.2">
      <c r="F50" s="97"/>
      <c r="G50" s="61"/>
      <c r="H50" s="61"/>
    </row>
    <row r="51" spans="5:8" x14ac:dyDescent="0.2">
      <c r="F51" s="97"/>
    </row>
    <row r="53" spans="5:8" x14ac:dyDescent="0.2">
      <c r="E53" s="61"/>
      <c r="F53" s="61"/>
    </row>
    <row r="54" spans="5:8" x14ac:dyDescent="0.2">
      <c r="F54" s="65"/>
    </row>
  </sheetData>
  <dataConsolidate/>
  <mergeCells count="8">
    <mergeCell ref="H6:H7"/>
    <mergeCell ref="I6:I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29E4-DAC8-461B-8194-D315D72C554B}">
  <sheetPr codeName="Hoja5">
    <tabColor rgb="FF00B050"/>
  </sheetPr>
  <dimension ref="B2:X69"/>
  <sheetViews>
    <sheetView zoomScale="70" zoomScaleNormal="70" workbookViewId="0"/>
  </sheetViews>
  <sheetFormatPr baseColWidth="10" defaultColWidth="11.42578125" defaultRowHeight="12.75" x14ac:dyDescent="0.2"/>
  <cols>
    <col min="1" max="1" width="9.140625" style="95" customWidth="1"/>
    <col min="2" max="2" width="23.85546875" style="95" customWidth="1"/>
    <col min="3" max="18" width="17" style="95" customWidth="1"/>
    <col min="19" max="19" width="16.140625" style="95" customWidth="1"/>
    <col min="20" max="20" width="20.5703125" style="95" customWidth="1"/>
    <col min="21" max="21" width="15.7109375" style="95" customWidth="1"/>
    <col min="22" max="22" width="9.85546875" style="95" customWidth="1"/>
    <col min="23" max="23" width="36.140625" style="95" customWidth="1"/>
    <col min="24" max="24" width="13.7109375" style="95" customWidth="1"/>
    <col min="25" max="25" width="14" style="95" bestFit="1" customWidth="1"/>
    <col min="26" max="30" width="10.85546875" style="95" customWidth="1"/>
    <col min="31" max="31" width="13.28515625" style="95" bestFit="1" customWidth="1"/>
    <col min="32" max="32" width="15.85546875" style="95" bestFit="1" customWidth="1"/>
    <col min="33" max="33" width="17" style="95" bestFit="1" customWidth="1"/>
    <col min="34" max="34" width="17.85546875" style="95" customWidth="1"/>
    <col min="35" max="16384" width="11.42578125" style="95"/>
  </cols>
  <sheetData>
    <row r="2" spans="2:24" ht="18.75" x14ac:dyDescent="0.3">
      <c r="B2" s="98" t="s">
        <v>127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95" t="s">
        <v>128</v>
      </c>
    </row>
    <row r="3" spans="2:24" x14ac:dyDescent="0.2">
      <c r="B3" s="100">
        <f>'Entrada CUSSR'!$B$3</f>
        <v>45597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99"/>
    </row>
    <row r="6" spans="2:24" ht="12.75" customHeight="1" x14ac:dyDescent="0.2">
      <c r="B6" s="102" t="s">
        <v>110</v>
      </c>
      <c r="C6" s="103" t="s">
        <v>129</v>
      </c>
      <c r="D6" s="104"/>
      <c r="E6" s="104"/>
      <c r="F6" s="102" t="s">
        <v>110</v>
      </c>
      <c r="G6" s="103" t="s">
        <v>130</v>
      </c>
      <c r="I6" s="102" t="s">
        <v>131</v>
      </c>
      <c r="J6" s="105" cm="1">
        <f t="array" ref="J6">SUMPRODUCT(($G$8:$G$34&gt;0)*($G$8:$G$34))</f>
        <v>19899668.665379118</v>
      </c>
      <c r="K6" s="104"/>
      <c r="L6" s="104"/>
      <c r="M6" s="104"/>
      <c r="N6" s="104"/>
      <c r="O6" s="104"/>
      <c r="P6" s="104"/>
      <c r="Q6" s="104"/>
      <c r="R6" s="104"/>
    </row>
    <row r="7" spans="2:24" ht="27" customHeight="1" x14ac:dyDescent="0.2">
      <c r="B7" s="102"/>
      <c r="C7" s="106"/>
      <c r="D7" s="104"/>
      <c r="E7" s="104"/>
      <c r="F7" s="102"/>
      <c r="G7" s="106"/>
      <c r="I7" s="102"/>
      <c r="J7" s="105"/>
      <c r="K7" s="104"/>
      <c r="L7" s="104"/>
      <c r="M7" s="104"/>
      <c r="N7" s="104"/>
      <c r="O7" s="104"/>
      <c r="P7" s="104"/>
      <c r="Q7" s="104"/>
      <c r="R7" s="104"/>
    </row>
    <row r="8" spans="2:24" x14ac:dyDescent="0.2">
      <c r="B8" s="107" t="s">
        <v>10</v>
      </c>
      <c r="C8" s="108">
        <f>'Reliquidación CUSSR'!I9</f>
        <v>-1656522.0860722403</v>
      </c>
      <c r="D8" s="109"/>
      <c r="E8" s="109"/>
      <c r="F8" s="107" t="s">
        <v>10</v>
      </c>
      <c r="G8" s="110">
        <f>VLOOKUP(F8,$B$8:$C$44,2,0)</f>
        <v>-1656522.0860722403</v>
      </c>
      <c r="H8" s="111"/>
      <c r="K8" s="109"/>
      <c r="L8" s="109"/>
      <c r="M8" s="109"/>
      <c r="N8" s="109"/>
      <c r="O8" s="109"/>
      <c r="P8" s="109"/>
      <c r="Q8" s="109"/>
      <c r="R8" s="109"/>
      <c r="S8" s="112"/>
    </row>
    <row r="9" spans="2:24" x14ac:dyDescent="0.2">
      <c r="B9" s="113" t="s">
        <v>16</v>
      </c>
      <c r="C9" s="110">
        <f>'Reliquidación CUSSR'!I10</f>
        <v>-286798.67774259939</v>
      </c>
      <c r="D9" s="109"/>
      <c r="E9" s="109"/>
      <c r="F9" s="113" t="s">
        <v>16</v>
      </c>
      <c r="G9" s="110">
        <f>VLOOKUP(F9,$B$8:$C$44,2,0)</f>
        <v>-286798.67774259939</v>
      </c>
      <c r="H9" s="111"/>
      <c r="K9" s="109"/>
      <c r="L9" s="109"/>
      <c r="M9" s="109"/>
      <c r="N9" s="109"/>
      <c r="O9" s="109"/>
      <c r="P9" s="109"/>
      <c r="Q9" s="109"/>
      <c r="R9" s="109"/>
      <c r="S9" s="112"/>
    </row>
    <row r="10" spans="2:24" x14ac:dyDescent="0.2">
      <c r="B10" s="113" t="s">
        <v>27</v>
      </c>
      <c r="C10" s="110">
        <f>'Reliquidación CUSSR'!I11</f>
        <v>246898.18083920659</v>
      </c>
      <c r="D10" s="109"/>
      <c r="E10" s="109"/>
      <c r="F10" s="113" t="s">
        <v>27</v>
      </c>
      <c r="G10" s="110">
        <f>VLOOKUP(F10,$B$8:$C$44,2,0)</f>
        <v>246898.18083920659</v>
      </c>
      <c r="H10" s="111"/>
      <c r="K10" s="109"/>
      <c r="L10" s="109"/>
      <c r="M10" s="109"/>
      <c r="N10" s="109"/>
      <c r="O10" s="109"/>
      <c r="P10" s="109"/>
      <c r="Q10" s="109"/>
      <c r="R10" s="109"/>
      <c r="S10" s="112"/>
    </row>
    <row r="11" spans="2:24" x14ac:dyDescent="0.2">
      <c r="B11" s="113" t="s">
        <v>34</v>
      </c>
      <c r="C11" s="110">
        <f>'Reliquidación CUSSR'!I12</f>
        <v>33026.693565931157</v>
      </c>
      <c r="D11" s="109"/>
      <c r="E11" s="109"/>
      <c r="F11" s="113" t="s">
        <v>34</v>
      </c>
      <c r="G11" s="110">
        <f>VLOOKUP(F11,$B$8:$C$44,2,0)</f>
        <v>33026.693565931157</v>
      </c>
      <c r="H11" s="111"/>
      <c r="K11" s="109"/>
      <c r="L11" s="109"/>
      <c r="M11" s="109"/>
      <c r="N11" s="109"/>
      <c r="O11" s="109"/>
      <c r="P11" s="109"/>
      <c r="Q11" s="109"/>
      <c r="R11" s="109"/>
      <c r="S11" s="112"/>
    </row>
    <row r="12" spans="2:24" x14ac:dyDescent="0.2">
      <c r="B12" s="113" t="s">
        <v>12</v>
      </c>
      <c r="C12" s="110">
        <f>'Reliquidación CUSSR'!I13</f>
        <v>-16426185.967473142</v>
      </c>
      <c r="D12" s="109"/>
      <c r="E12" s="109"/>
      <c r="F12" s="113" t="s">
        <v>11</v>
      </c>
      <c r="G12" s="110">
        <f>C12+C13+C14+C15+C16+C18+C19+C20+C37+C38+C39</f>
        <v>-8160171.8010200895</v>
      </c>
      <c r="H12" s="111"/>
      <c r="K12" s="109"/>
      <c r="L12" s="109"/>
      <c r="M12" s="109"/>
      <c r="N12" s="109"/>
      <c r="O12" s="109"/>
      <c r="P12" s="109"/>
      <c r="Q12" s="109"/>
      <c r="R12" s="109"/>
      <c r="S12" s="112"/>
    </row>
    <row r="13" spans="2:24" x14ac:dyDescent="0.2">
      <c r="B13" s="113" t="s">
        <v>115</v>
      </c>
      <c r="C13" s="110">
        <f>'Reliquidación CUSSR'!I14</f>
        <v>29772.639986011491</v>
      </c>
      <c r="D13" s="109"/>
      <c r="E13" s="109"/>
      <c r="F13" s="113" t="s">
        <v>132</v>
      </c>
      <c r="G13" s="110">
        <f>C17</f>
        <v>17791198.000689019</v>
      </c>
      <c r="H13" s="111"/>
      <c r="K13" s="109"/>
      <c r="L13" s="109"/>
      <c r="M13" s="109"/>
      <c r="N13" s="109"/>
      <c r="O13" s="109"/>
      <c r="P13" s="109"/>
      <c r="Q13" s="109"/>
      <c r="R13" s="109"/>
      <c r="S13" s="112"/>
    </row>
    <row r="14" spans="2:24" x14ac:dyDescent="0.2">
      <c r="B14" s="113" t="s">
        <v>33</v>
      </c>
      <c r="C14" s="110">
        <f>'Reliquidación CUSSR'!I15</f>
        <v>939957.41790657269</v>
      </c>
      <c r="D14" s="109"/>
      <c r="E14" s="109"/>
      <c r="F14" s="113" t="s">
        <v>22</v>
      </c>
      <c r="G14" s="110">
        <f t="shared" ref="G14:G34" si="0">VLOOKUP(F14,$B$8:$C$44,2,0)</f>
        <v>214166.80927852087</v>
      </c>
      <c r="H14" s="111"/>
      <c r="K14" s="109"/>
      <c r="L14" s="109"/>
      <c r="M14" s="109"/>
      <c r="N14" s="109"/>
      <c r="O14" s="109"/>
      <c r="P14" s="109"/>
      <c r="Q14" s="109"/>
      <c r="R14" s="109"/>
      <c r="S14" s="112"/>
    </row>
    <row r="15" spans="2:24" x14ac:dyDescent="0.2">
      <c r="B15" s="113" t="s">
        <v>116</v>
      </c>
      <c r="C15" s="110">
        <f>'Reliquidación CUSSR'!I16</f>
        <v>0</v>
      </c>
      <c r="D15" s="109"/>
      <c r="E15" s="109"/>
      <c r="F15" s="113" t="s">
        <v>21</v>
      </c>
      <c r="G15" s="110">
        <f t="shared" si="0"/>
        <v>-1311858.4492802485</v>
      </c>
      <c r="H15" s="111"/>
      <c r="K15" s="109"/>
      <c r="L15" s="109"/>
      <c r="M15" s="109"/>
      <c r="N15" s="109"/>
      <c r="O15" s="109"/>
      <c r="P15" s="109"/>
      <c r="Q15" s="109"/>
      <c r="R15" s="109"/>
      <c r="S15" s="112"/>
    </row>
    <row r="16" spans="2:24" x14ac:dyDescent="0.2">
      <c r="B16" s="113" t="s">
        <v>117</v>
      </c>
      <c r="C16" s="110">
        <f>'Reliquidación CUSSR'!I17</f>
        <v>0</v>
      </c>
      <c r="D16" s="109"/>
      <c r="E16" s="109"/>
      <c r="F16" s="113" t="s">
        <v>28</v>
      </c>
      <c r="G16" s="110">
        <f t="shared" si="0"/>
        <v>455081.27995254402</v>
      </c>
      <c r="H16" s="111"/>
      <c r="K16" s="109"/>
      <c r="L16" s="109"/>
      <c r="M16" s="109"/>
      <c r="N16" s="109"/>
      <c r="O16" s="109"/>
      <c r="P16" s="109"/>
      <c r="Q16" s="109"/>
      <c r="R16" s="109"/>
      <c r="S16" s="112"/>
    </row>
    <row r="17" spans="2:19" x14ac:dyDescent="0.2">
      <c r="B17" s="113" t="s">
        <v>13</v>
      </c>
      <c r="C17" s="110">
        <f>'Reliquidación CUSSR'!I18</f>
        <v>17791198.000689019</v>
      </c>
      <c r="D17" s="109"/>
      <c r="E17" s="109"/>
      <c r="F17" s="113" t="s">
        <v>20</v>
      </c>
      <c r="G17" s="110">
        <f t="shared" si="0"/>
        <v>-420168.0813237215</v>
      </c>
      <c r="H17" s="111"/>
      <c r="K17" s="109"/>
      <c r="L17" s="109"/>
      <c r="M17" s="109"/>
      <c r="N17" s="109"/>
      <c r="O17" s="109"/>
      <c r="P17" s="109"/>
      <c r="Q17" s="109"/>
      <c r="R17" s="109"/>
      <c r="S17" s="112"/>
    </row>
    <row r="18" spans="2:19" x14ac:dyDescent="0.2">
      <c r="B18" s="113" t="s">
        <v>118</v>
      </c>
      <c r="C18" s="110">
        <f>'Reliquidación CUSSR'!I19</f>
        <v>3123432.1362358918</v>
      </c>
      <c r="D18" s="109"/>
      <c r="E18" s="109"/>
      <c r="F18" s="113" t="s">
        <v>43</v>
      </c>
      <c r="G18" s="110">
        <f t="shared" si="0"/>
        <v>-872644.62568211753</v>
      </c>
      <c r="H18" s="111"/>
      <c r="K18" s="109"/>
      <c r="L18" s="109"/>
      <c r="M18" s="109"/>
      <c r="N18" s="109"/>
      <c r="O18" s="109"/>
      <c r="P18" s="109"/>
      <c r="Q18" s="109"/>
      <c r="R18" s="109"/>
      <c r="S18" s="112"/>
    </row>
    <row r="19" spans="2:19" x14ac:dyDescent="0.2">
      <c r="B19" s="113" t="s">
        <v>119</v>
      </c>
      <c r="C19" s="110">
        <f>'Reliquidación CUSSR'!I20</f>
        <v>659608.23724834656</v>
      </c>
      <c r="D19" s="109"/>
      <c r="E19" s="109"/>
      <c r="F19" s="113" t="s">
        <v>18</v>
      </c>
      <c r="G19" s="110">
        <f t="shared" si="0"/>
        <v>-300826.17538396944</v>
      </c>
      <c r="H19" s="111"/>
      <c r="K19" s="109"/>
      <c r="L19" s="109"/>
      <c r="M19" s="109"/>
      <c r="N19" s="109"/>
      <c r="O19" s="109"/>
      <c r="P19" s="109"/>
      <c r="Q19" s="109"/>
      <c r="R19" s="109"/>
      <c r="S19" s="112"/>
    </row>
    <row r="20" spans="2:19" x14ac:dyDescent="0.2">
      <c r="B20" s="113" t="s">
        <v>120</v>
      </c>
      <c r="C20" s="110">
        <f>'Reliquidación CUSSR'!I21</f>
        <v>0</v>
      </c>
      <c r="D20" s="109"/>
      <c r="E20" s="109"/>
      <c r="F20" s="113" t="s">
        <v>35</v>
      </c>
      <c r="G20" s="110">
        <f t="shared" si="0"/>
        <v>-626186.84960964927</v>
      </c>
      <c r="H20" s="111"/>
      <c r="K20" s="109"/>
      <c r="L20" s="109"/>
      <c r="M20" s="109"/>
      <c r="N20" s="109"/>
      <c r="O20" s="109"/>
      <c r="P20" s="109"/>
      <c r="Q20" s="109"/>
      <c r="R20" s="109"/>
      <c r="S20" s="112"/>
    </row>
    <row r="21" spans="2:19" x14ac:dyDescent="0.2">
      <c r="B21" s="113" t="s">
        <v>22</v>
      </c>
      <c r="C21" s="110">
        <f>'Reliquidación CUSSR'!I22</f>
        <v>214166.80927852087</v>
      </c>
      <c r="D21" s="109"/>
      <c r="E21" s="109"/>
      <c r="F21" s="113" t="s">
        <v>38</v>
      </c>
      <c r="G21" s="110">
        <f t="shared" si="0"/>
        <v>-290085.58795893227</v>
      </c>
      <c r="H21" s="111"/>
      <c r="K21" s="109"/>
      <c r="L21" s="109"/>
      <c r="M21" s="109"/>
      <c r="N21" s="109"/>
      <c r="O21" s="109"/>
      <c r="P21" s="109"/>
      <c r="Q21" s="109"/>
      <c r="R21" s="109"/>
      <c r="S21" s="112"/>
    </row>
    <row r="22" spans="2:19" x14ac:dyDescent="0.2">
      <c r="B22" s="113" t="s">
        <v>21</v>
      </c>
      <c r="C22" s="110">
        <f>'Reliquidación CUSSR'!I23</f>
        <v>-1311858.4492802485</v>
      </c>
      <c r="D22" s="109"/>
      <c r="E22" s="109"/>
      <c r="F22" s="113" t="s">
        <v>42</v>
      </c>
      <c r="G22" s="110">
        <f t="shared" si="0"/>
        <v>-1248479.6047806069</v>
      </c>
      <c r="H22" s="111"/>
      <c r="K22" s="109"/>
      <c r="L22" s="109"/>
      <c r="M22" s="109"/>
      <c r="N22" s="109"/>
      <c r="O22" s="109"/>
      <c r="P22" s="109"/>
      <c r="Q22" s="109"/>
      <c r="R22" s="109"/>
      <c r="S22" s="112"/>
    </row>
    <row r="23" spans="2:19" x14ac:dyDescent="0.2">
      <c r="B23" s="113" t="s">
        <v>28</v>
      </c>
      <c r="C23" s="110">
        <f>'Reliquidación CUSSR'!I24</f>
        <v>455081.27995254402</v>
      </c>
      <c r="D23" s="109"/>
      <c r="E23" s="109"/>
      <c r="F23" s="113" t="s">
        <v>15</v>
      </c>
      <c r="G23" s="110">
        <f t="shared" si="0"/>
        <v>-266202.31091170339</v>
      </c>
      <c r="H23" s="111"/>
      <c r="K23" s="109"/>
      <c r="L23" s="109"/>
      <c r="M23" s="109"/>
      <c r="N23" s="109"/>
      <c r="O23" s="109"/>
      <c r="P23" s="109"/>
      <c r="Q23" s="109"/>
      <c r="R23" s="109"/>
      <c r="S23" s="112"/>
    </row>
    <row r="24" spans="2:19" x14ac:dyDescent="0.2">
      <c r="B24" s="113" t="s">
        <v>20</v>
      </c>
      <c r="C24" s="110">
        <f>'Reliquidación CUSSR'!I25</f>
        <v>-420168.0813237215</v>
      </c>
      <c r="D24" s="109"/>
      <c r="E24" s="109"/>
      <c r="F24" s="113" t="s">
        <v>14</v>
      </c>
      <c r="G24" s="110">
        <f t="shared" si="0"/>
        <v>-1787094.4624213502</v>
      </c>
      <c r="H24" s="111"/>
      <c r="K24" s="109"/>
      <c r="L24" s="109"/>
      <c r="M24" s="109"/>
      <c r="N24" s="109"/>
      <c r="O24" s="109"/>
      <c r="P24" s="109"/>
      <c r="Q24" s="109"/>
      <c r="R24" s="109"/>
      <c r="S24" s="112"/>
    </row>
    <row r="25" spans="2:19" x14ac:dyDescent="0.2">
      <c r="B25" s="113" t="s">
        <v>43</v>
      </c>
      <c r="C25" s="110">
        <f>'Reliquidación CUSSR'!I26</f>
        <v>-872644.62568211753</v>
      </c>
      <c r="D25" s="109"/>
      <c r="E25" s="109"/>
      <c r="F25" s="113" t="s">
        <v>24</v>
      </c>
      <c r="G25" s="110">
        <f t="shared" si="0"/>
        <v>-154600.57351209954</v>
      </c>
      <c r="H25" s="111"/>
      <c r="K25" s="109"/>
      <c r="L25" s="109"/>
      <c r="M25" s="109"/>
      <c r="N25" s="109"/>
      <c r="O25" s="109"/>
      <c r="P25" s="109"/>
      <c r="Q25" s="109"/>
      <c r="R25" s="109"/>
      <c r="S25" s="112"/>
    </row>
    <row r="26" spans="2:19" x14ac:dyDescent="0.2">
      <c r="B26" s="113" t="s">
        <v>18</v>
      </c>
      <c r="C26" s="110">
        <f>'Reliquidación CUSSR'!I27</f>
        <v>-300826.17538396944</v>
      </c>
      <c r="D26" s="109"/>
      <c r="E26" s="109"/>
      <c r="F26" s="113" t="s">
        <v>36</v>
      </c>
      <c r="G26" s="110">
        <f t="shared" si="0"/>
        <v>81658.833969017054</v>
      </c>
      <c r="H26" s="111"/>
      <c r="K26" s="109"/>
      <c r="L26" s="109"/>
      <c r="M26" s="109"/>
      <c r="N26" s="109"/>
      <c r="O26" s="109"/>
      <c r="P26" s="109"/>
      <c r="Q26" s="109"/>
      <c r="R26" s="109"/>
      <c r="S26" s="112"/>
    </row>
    <row r="27" spans="2:19" x14ac:dyDescent="0.2">
      <c r="B27" s="113" t="s">
        <v>35</v>
      </c>
      <c r="C27" s="110">
        <f>'Reliquidación CUSSR'!I28</f>
        <v>-626186.84960964927</v>
      </c>
      <c r="D27" s="109"/>
      <c r="E27" s="109"/>
      <c r="F27" s="113" t="s">
        <v>39</v>
      </c>
      <c r="G27" s="110">
        <f t="shared" si="0"/>
        <v>-1840555.7598231309</v>
      </c>
      <c r="H27" s="111"/>
      <c r="K27" s="109"/>
      <c r="L27" s="109"/>
      <c r="M27" s="109"/>
      <c r="N27" s="109"/>
      <c r="O27" s="109"/>
      <c r="P27" s="109"/>
      <c r="Q27" s="109"/>
      <c r="R27" s="109"/>
      <c r="S27" s="112"/>
    </row>
    <row r="28" spans="2:19" x14ac:dyDescent="0.2">
      <c r="B28" s="113" t="s">
        <v>38</v>
      </c>
      <c r="C28" s="110">
        <f>'Reliquidación CUSSR'!I29</f>
        <v>-290085.58795893227</v>
      </c>
      <c r="D28" s="109"/>
      <c r="E28" s="109"/>
      <c r="F28" s="113" t="s">
        <v>40</v>
      </c>
      <c r="G28" s="110">
        <f t="shared" si="0"/>
        <v>-677473.61985665106</v>
      </c>
      <c r="H28" s="111"/>
      <c r="K28" s="109"/>
      <c r="L28" s="109"/>
      <c r="M28" s="109"/>
      <c r="N28" s="109"/>
      <c r="O28" s="109"/>
      <c r="P28" s="109"/>
      <c r="Q28" s="109"/>
      <c r="R28" s="109"/>
      <c r="S28" s="112"/>
    </row>
    <row r="29" spans="2:19" x14ac:dyDescent="0.2">
      <c r="B29" s="113" t="s">
        <v>42</v>
      </c>
      <c r="C29" s="110">
        <f>'Reliquidación CUSSR'!I30</f>
        <v>-1248479.6047806069</v>
      </c>
      <c r="D29" s="109"/>
      <c r="E29" s="109"/>
      <c r="F29" s="113" t="s">
        <v>121</v>
      </c>
      <c r="G29" s="110">
        <f t="shared" si="0"/>
        <v>44832.369819676882</v>
      </c>
      <c r="H29" s="111"/>
      <c r="K29" s="109"/>
      <c r="L29" s="109"/>
      <c r="M29" s="109"/>
      <c r="N29" s="109"/>
      <c r="O29" s="109"/>
      <c r="P29" s="109"/>
      <c r="Q29" s="109"/>
      <c r="R29" s="109"/>
      <c r="S29" s="112"/>
    </row>
    <row r="30" spans="2:19" x14ac:dyDescent="0.2">
      <c r="B30" s="113" t="s">
        <v>15</v>
      </c>
      <c r="C30" s="110">
        <f>'Reliquidación CUSSR'!I31</f>
        <v>-266202.31091170339</v>
      </c>
      <c r="D30" s="109"/>
      <c r="E30" s="109"/>
      <c r="F30" s="113" t="s">
        <v>19</v>
      </c>
      <c r="G30" s="110">
        <f t="shared" si="0"/>
        <v>0</v>
      </c>
      <c r="H30" s="111"/>
      <c r="K30" s="109"/>
      <c r="L30" s="109"/>
      <c r="M30" s="109"/>
      <c r="N30" s="109"/>
      <c r="O30" s="109"/>
      <c r="P30" s="109"/>
      <c r="Q30" s="109"/>
      <c r="R30" s="109"/>
      <c r="S30" s="112"/>
    </row>
    <row r="31" spans="2:19" x14ac:dyDescent="0.2">
      <c r="B31" s="113" t="s">
        <v>14</v>
      </c>
      <c r="C31" s="110">
        <f>'Reliquidación CUSSR'!I32</f>
        <v>-1787094.4624213502</v>
      </c>
      <c r="D31" s="109"/>
      <c r="E31" s="109"/>
      <c r="F31" s="113" t="s">
        <v>23</v>
      </c>
      <c r="G31" s="110">
        <f t="shared" si="0"/>
        <v>240.60718528000001</v>
      </c>
      <c r="H31" s="111"/>
      <c r="K31" s="109"/>
      <c r="L31" s="109"/>
      <c r="M31" s="109"/>
      <c r="N31" s="109"/>
      <c r="O31" s="109"/>
      <c r="P31" s="109"/>
      <c r="Q31" s="109"/>
      <c r="R31" s="109"/>
      <c r="S31" s="112"/>
    </row>
    <row r="32" spans="2:19" x14ac:dyDescent="0.2">
      <c r="B32" s="113" t="s">
        <v>24</v>
      </c>
      <c r="C32" s="110">
        <f>'Reliquidación CUSSR'!I33</f>
        <v>-154600.57351209954</v>
      </c>
      <c r="D32" s="109"/>
      <c r="E32" s="109"/>
      <c r="F32" s="113" t="s">
        <v>25</v>
      </c>
      <c r="G32" s="110">
        <f t="shared" si="0"/>
        <v>192536.60521489289</v>
      </c>
      <c r="H32" s="112"/>
      <c r="K32" s="109"/>
      <c r="L32" s="109"/>
      <c r="M32" s="109"/>
      <c r="N32" s="109"/>
      <c r="O32" s="109"/>
      <c r="P32" s="109"/>
      <c r="Q32" s="109"/>
      <c r="R32" s="109"/>
      <c r="S32" s="112"/>
    </row>
    <row r="33" spans="2:22" x14ac:dyDescent="0.2">
      <c r="B33" s="113" t="s">
        <v>36</v>
      </c>
      <c r="C33" s="110">
        <f>'Reliquidación CUSSR'!I34</f>
        <v>81658.833969017054</v>
      </c>
      <c r="D33" s="109"/>
      <c r="E33" s="109"/>
      <c r="F33" s="113" t="s">
        <v>26</v>
      </c>
      <c r="G33" s="110">
        <f t="shared" si="0"/>
        <v>837550.49243122351</v>
      </c>
      <c r="H33" s="114"/>
      <c r="K33" s="109"/>
      <c r="L33" s="109"/>
      <c r="M33" s="109"/>
      <c r="N33" s="109"/>
      <c r="O33" s="109"/>
      <c r="P33" s="109"/>
      <c r="Q33" s="109"/>
      <c r="R33" s="109"/>
      <c r="S33" s="112"/>
    </row>
    <row r="34" spans="2:22" x14ac:dyDescent="0.2">
      <c r="B34" s="113" t="s">
        <v>39</v>
      </c>
      <c r="C34" s="110">
        <f>'Reliquidación CUSSR'!I35</f>
        <v>-1840555.7598231309</v>
      </c>
      <c r="D34" s="109"/>
      <c r="E34" s="109"/>
      <c r="F34" s="115" t="s">
        <v>41</v>
      </c>
      <c r="G34" s="110">
        <f t="shared" si="0"/>
        <v>2478.7924338033358</v>
      </c>
      <c r="H34" s="114"/>
      <c r="K34" s="109"/>
      <c r="L34" s="109"/>
      <c r="M34" s="109"/>
      <c r="N34" s="109"/>
      <c r="O34" s="109"/>
      <c r="P34" s="109"/>
      <c r="Q34" s="109"/>
      <c r="R34" s="109"/>
      <c r="S34" s="112"/>
    </row>
    <row r="35" spans="2:22" x14ac:dyDescent="0.2">
      <c r="B35" s="113" t="s">
        <v>40</v>
      </c>
      <c r="C35" s="110">
        <f>'Reliquidación CUSSR'!I36</f>
        <v>-677473.61985665106</v>
      </c>
      <c r="D35" s="109"/>
      <c r="E35" s="109"/>
      <c r="F35" s="116" t="s">
        <v>126</v>
      </c>
      <c r="G35" s="117">
        <f>SUM(G8:G34)</f>
        <v>5.0226844905409962E-9</v>
      </c>
      <c r="H35" s="114"/>
      <c r="K35" s="109"/>
      <c r="L35" s="109"/>
      <c r="M35" s="109"/>
      <c r="N35" s="109"/>
      <c r="O35" s="109"/>
      <c r="P35" s="109"/>
      <c r="Q35" s="109"/>
      <c r="R35" s="109"/>
      <c r="S35" s="112"/>
    </row>
    <row r="36" spans="2:22" x14ac:dyDescent="0.2">
      <c r="B36" s="113" t="s">
        <v>121</v>
      </c>
      <c r="C36" s="110">
        <f>'Reliquidación CUSSR'!I37</f>
        <v>44832.369819676882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12"/>
      <c r="T36" s="118"/>
      <c r="U36" s="114"/>
      <c r="V36" s="114"/>
    </row>
    <row r="37" spans="2:22" x14ac:dyDescent="0.2">
      <c r="B37" s="113" t="s">
        <v>32</v>
      </c>
      <c r="C37" s="110">
        <f>'Reliquidación CUSSR'!I38</f>
        <v>659425.13309147221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2"/>
      <c r="T37" s="118"/>
      <c r="U37" s="114"/>
      <c r="V37" s="114"/>
    </row>
    <row r="38" spans="2:22" x14ac:dyDescent="0.2">
      <c r="B38" s="113" t="s">
        <v>31</v>
      </c>
      <c r="C38" s="110">
        <f>'Reliquidación CUSSR'!I39</f>
        <v>978304.68235031085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2"/>
      <c r="T38" s="118"/>
      <c r="U38" s="114"/>
      <c r="V38" s="114"/>
    </row>
    <row r="39" spans="2:22" x14ac:dyDescent="0.2">
      <c r="B39" s="113" t="s">
        <v>30</v>
      </c>
      <c r="C39" s="110">
        <f>'Reliquidación CUSSR'!I40</f>
        <v>1875513.919634447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2"/>
      <c r="T39" s="118"/>
      <c r="U39" s="114"/>
      <c r="V39" s="114"/>
    </row>
    <row r="40" spans="2:22" x14ac:dyDescent="0.2">
      <c r="B40" s="113" t="s">
        <v>19</v>
      </c>
      <c r="C40" s="110">
        <f>'Reliquidación CUSSR'!I41</f>
        <v>0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2"/>
      <c r="T40" s="118"/>
      <c r="U40" s="114"/>
      <c r="V40" s="114"/>
    </row>
    <row r="41" spans="2:22" x14ac:dyDescent="0.2">
      <c r="B41" s="113" t="s">
        <v>23</v>
      </c>
      <c r="C41" s="110">
        <f>'Reliquidación CUSSR'!I42</f>
        <v>240.60718528000001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12"/>
      <c r="T41" s="118"/>
      <c r="U41" s="114"/>
      <c r="V41" s="114"/>
    </row>
    <row r="42" spans="2:22" x14ac:dyDescent="0.2">
      <c r="B42" s="113" t="s">
        <v>25</v>
      </c>
      <c r="C42" s="110">
        <f>'Reliquidación CUSSR'!I43</f>
        <v>192536.60521489289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2"/>
      <c r="T42" s="118"/>
      <c r="U42" s="114"/>
      <c r="V42" s="114"/>
    </row>
    <row r="43" spans="2:22" x14ac:dyDescent="0.2">
      <c r="B43" s="113" t="s">
        <v>26</v>
      </c>
      <c r="C43" s="110">
        <f>'Reliquidación CUSSR'!I44</f>
        <v>837550.49243122351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2"/>
      <c r="T43" s="118"/>
      <c r="U43" s="114"/>
      <c r="V43" s="114"/>
    </row>
    <row r="44" spans="2:22" x14ac:dyDescent="0.2">
      <c r="B44" s="115" t="s">
        <v>41</v>
      </c>
      <c r="C44" s="119">
        <f>'Reliquidación CUSSR'!I45</f>
        <v>2478.7924338033358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2"/>
      <c r="T44" s="118"/>
      <c r="U44" s="114"/>
      <c r="V44" s="114"/>
    </row>
    <row r="45" spans="2:22" x14ac:dyDescent="0.2">
      <c r="B45" s="116" t="s">
        <v>126</v>
      </c>
      <c r="C45" s="117">
        <f>SUM(C8:C44)</f>
        <v>3.276454663136974E-9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1"/>
      <c r="T45" s="118"/>
      <c r="U45" s="114"/>
      <c r="V45" s="114"/>
    </row>
    <row r="46" spans="2:22" x14ac:dyDescent="0.2">
      <c r="B46" s="118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T46" s="118"/>
      <c r="U46" s="114"/>
    </row>
    <row r="47" spans="2:22" x14ac:dyDescent="0.2">
      <c r="B47" s="118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</row>
    <row r="49" spans="2:18" x14ac:dyDescent="0.2">
      <c r="B49" s="123" t="s">
        <v>133</v>
      </c>
    </row>
    <row r="51" spans="2:18" x14ac:dyDescent="0.2">
      <c r="B51" s="124" t="s">
        <v>134</v>
      </c>
      <c r="C51" s="125" t="s">
        <v>135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 t="s">
        <v>52</v>
      </c>
    </row>
    <row r="52" spans="2:18" x14ac:dyDescent="0.2">
      <c r="B52" s="128"/>
      <c r="C52" s="129" t="s">
        <v>10</v>
      </c>
      <c r="D52" s="129" t="s">
        <v>16</v>
      </c>
      <c r="E52" s="129" t="s">
        <v>11</v>
      </c>
      <c r="F52" s="129" t="s">
        <v>21</v>
      </c>
      <c r="G52" s="129" t="s">
        <v>20</v>
      </c>
      <c r="H52" s="129" t="s">
        <v>43</v>
      </c>
      <c r="I52" s="129" t="s">
        <v>18</v>
      </c>
      <c r="J52" s="129" t="s">
        <v>35</v>
      </c>
      <c r="K52" s="129" t="s">
        <v>38</v>
      </c>
      <c r="L52" s="129" t="s">
        <v>42</v>
      </c>
      <c r="M52" s="129" t="s">
        <v>15</v>
      </c>
      <c r="N52" s="129" t="s">
        <v>14</v>
      </c>
      <c r="O52" s="129" t="s">
        <v>24</v>
      </c>
      <c r="P52" s="129" t="s">
        <v>39</v>
      </c>
      <c r="Q52" s="130" t="s">
        <v>40</v>
      </c>
      <c r="R52" s="131"/>
    </row>
    <row r="53" spans="2:18" ht="12" customHeight="1" x14ac:dyDescent="0.2">
      <c r="B53" s="132" t="s">
        <v>27</v>
      </c>
      <c r="C53" s="133" cm="1">
        <f t="array" ref="C53">IFERROR((VLOOKUP($B53,$F$8:$G$34,2,0)*(-(VLOOKUP(C$52,$F$8:$G$34,2,0))))/SUMPRODUCT(($G$8:$G$34&gt;0)*($G$8:$G$34)),0)</f>
        <v>20552.718562734513</v>
      </c>
      <c r="D53" s="133" cm="1">
        <f t="array" ref="D53">IFERROR((VLOOKUP($B53,$F$8:$G$34,2,0)*(-(VLOOKUP(D$52,$F$8:$G$34,2,0))))/SUMPRODUCT(($G$8:$G$34&gt;0)*($G$8:$G$34)),0)</f>
        <v>3558.3543119454548</v>
      </c>
      <c r="E53" s="133" cm="1">
        <f t="array" ref="E53">IFERROR((VLOOKUP($B53,$F$8:$G$34,2,0)*(-(VLOOKUP(E$52,$F$8:$G$34,2,0))))/SUMPRODUCT(($G$8:$G$34&gt;0)*($G$8:$G$34)),0)</f>
        <v>101244.47833206516</v>
      </c>
      <c r="F53" s="133" cm="1">
        <f t="array" ref="F53">IFERROR((VLOOKUP($B53,$F$8:$G$34,2,0)*(-(VLOOKUP(F$52,$F$8:$G$34,2,0))))/SUMPRODUCT(($G$8:$G$34&gt;0)*($G$8:$G$34)),0)</f>
        <v>16276.425004469553</v>
      </c>
      <c r="G53" s="133" cm="1">
        <f t="array" ref="G53">IFERROR((VLOOKUP($B53,$F$8:$G$34,2,0)*(-(VLOOKUP(G$52,$F$8:$G$34,2,0))))/SUMPRODUCT(($G$8:$G$34&gt;0)*($G$8:$G$34)),0)</f>
        <v>5213.0885528766812</v>
      </c>
      <c r="H53" s="133" cm="1">
        <f t="array" ref="H53">IFERROR((VLOOKUP($B53,$F$8:$G$34,2,0)*(-(VLOOKUP(H$52,$F$8:$G$34,2,0))))/SUMPRODUCT(($G$8:$G$34&gt;0)*($G$8:$G$34)),0)</f>
        <v>10827.033063865361</v>
      </c>
      <c r="I53" s="133" cm="1">
        <f t="array" ref="I53">IFERROR((VLOOKUP($B53,$F$8:$G$34,2,0)*(-(VLOOKUP(I$52,$F$8:$G$34,2,0))))/SUMPRODUCT(($G$8:$G$34&gt;0)*($G$8:$G$34)),0)</f>
        <v>3732.3955840700501</v>
      </c>
      <c r="J53" s="133" cm="1">
        <f t="array" ref="J53">IFERROR((VLOOKUP($B53,$F$8:$G$34,2,0)*(-(VLOOKUP(J$52,$F$8:$G$34,2,0))))/SUMPRODUCT(($G$8:$G$34&gt;0)*($G$8:$G$34)),0)</f>
        <v>7769.1943837754752</v>
      </c>
      <c r="K53" s="133" cm="1">
        <f t="array" ref="K53">IFERROR((VLOOKUP($B53,$F$8:$G$34,2,0)*(-(VLOOKUP(K$52,$F$8:$G$34,2,0))))/SUMPRODUCT(($G$8:$G$34&gt;0)*($G$8:$G$34)),0)</f>
        <v>3599.135501152201</v>
      </c>
      <c r="L53" s="133" cm="1">
        <f t="array" ref="L53">IFERROR((VLOOKUP($B53,$F$8:$G$34,2,0)*(-(VLOOKUP(L$52,$F$8:$G$34,2,0))))/SUMPRODUCT(($G$8:$G$34&gt;0)*($G$8:$G$34)),0)</f>
        <v>15490.074152413577</v>
      </c>
      <c r="M53" s="133" cm="1">
        <f t="array" ref="M53">IFERROR((VLOOKUP($B53,$F$8:$G$34,2,0)*(-(VLOOKUP(M$52,$F$8:$G$34,2,0))))/SUMPRODUCT(($G$8:$G$34&gt;0)*($G$8:$G$34)),0)</f>
        <v>3302.8120922253702</v>
      </c>
      <c r="N53" s="133" cm="1">
        <f t="array" ref="N53">IFERROR((VLOOKUP($B53,$F$8:$G$34,2,0)*(-(VLOOKUP(N$52,$F$8:$G$34,2,0))))/SUMPRODUCT(($G$8:$G$34&gt;0)*($G$8:$G$34)),0)</f>
        <v>22172.749666294261</v>
      </c>
      <c r="O53" s="133" cm="1">
        <f t="array" ref="O53">IFERROR((VLOOKUP($B53,$F$8:$G$34,2,0)*(-(VLOOKUP(O$52,$F$8:$G$34,2,0))))/SUMPRODUCT(($G$8:$G$34&gt;0)*($G$8:$G$34)),0)</f>
        <v>1918.1525581500528</v>
      </c>
      <c r="P53" s="133" cm="1">
        <f t="array" ref="P53">IFERROR((VLOOKUP($B53,$F$8:$G$34,2,0)*(-(VLOOKUP(P$52,$F$8:$G$34,2,0))))/SUMPRODUCT(($G$8:$G$34&gt;0)*($G$8:$G$34)),0)</f>
        <v>22836.052020507203</v>
      </c>
      <c r="Q53" s="133" cm="1">
        <f t="array" ref="Q53">IFERROR((VLOOKUP($B53,$F$8:$G$34,2,0)*(-(VLOOKUP(Q$52,$F$8:$G$34,2,0))))/SUMPRODUCT(($G$8:$G$34&gt;0)*($G$8:$G$34)),0)</f>
        <v>8405.517052661573</v>
      </c>
      <c r="R53" s="134">
        <f t="shared" ref="R53:R64" si="1">SUM(C53:Q53)</f>
        <v>246898.18083920647</v>
      </c>
    </row>
    <row r="54" spans="2:18" x14ac:dyDescent="0.2">
      <c r="B54" s="135" t="s">
        <v>34</v>
      </c>
      <c r="C54" s="133" cm="1">
        <f t="array" ref="C54">IFERROR((VLOOKUP($B54,$F$8:$G$34,2,0)*(-(VLOOKUP(C$52,$F$8:$G$34,2,0))))/SUMPRODUCT(($G$8:$G$34&gt;0)*($G$8:$G$34)),0)</f>
        <v>2749.2642335842943</v>
      </c>
      <c r="D54" s="133" cm="1">
        <f t="array" ref="D54">IFERROR((VLOOKUP($B54,$F$8:$G$34,2,0)*(-(VLOOKUP(D$52,$F$8:$G$34,2,0))))/SUMPRODUCT(($G$8:$G$34&gt;0)*($G$8:$G$34)),0)</f>
        <v>475.98842996809339</v>
      </c>
      <c r="E54" s="133" cm="1">
        <f t="array" ref="E54">IFERROR((VLOOKUP($B54,$F$8:$G$34,2,0)*(-(VLOOKUP(E$52,$F$8:$G$34,2,0))))/SUMPRODUCT(($G$8:$G$34&gt;0)*($G$8:$G$34)),0)</f>
        <v>13543.114614089913</v>
      </c>
      <c r="F54" s="133" cm="1">
        <f t="array" ref="F54">IFERROR((VLOOKUP($B54,$F$8:$G$34,2,0)*(-(VLOOKUP(F$52,$F$8:$G$34,2,0))))/SUMPRODUCT(($G$8:$G$34&gt;0)*($G$8:$G$34)),0)</f>
        <v>2177.2396181467266</v>
      </c>
      <c r="G54" s="133" cm="1">
        <f t="array" ref="G54">IFERROR((VLOOKUP($B54,$F$8:$G$34,2,0)*(-(VLOOKUP(G$52,$F$8:$G$34,2,0))))/SUMPRODUCT(($G$8:$G$34&gt;0)*($G$8:$G$34)),0)</f>
        <v>697.33635777595589</v>
      </c>
      <c r="H54" s="133" cm="1">
        <f t="array" ref="H54">IFERROR((VLOOKUP($B54,$F$8:$G$34,2,0)*(-(VLOOKUP(H$52,$F$8:$G$34,2,0))))/SUMPRODUCT(($G$8:$G$34&gt;0)*($G$8:$G$34)),0)</f>
        <v>1448.2937946851951</v>
      </c>
      <c r="I54" s="133" cm="1">
        <f t="array" ref="I54">IFERROR((VLOOKUP($B54,$F$8:$G$34,2,0)*(-(VLOOKUP(I$52,$F$8:$G$34,2,0))))/SUMPRODUCT(($G$8:$G$34&gt;0)*($G$8:$G$34)),0)</f>
        <v>499.26931337819536</v>
      </c>
      <c r="J54" s="133" cm="1">
        <f t="array" ref="J54">IFERROR((VLOOKUP($B54,$F$8:$G$34,2,0)*(-(VLOOKUP(J$52,$F$8:$G$34,2,0))))/SUMPRODUCT(($G$8:$G$34&gt;0)*($G$8:$G$34)),0)</f>
        <v>1039.2575647781371</v>
      </c>
      <c r="K54" s="133" cm="1">
        <f t="array" ref="K54">IFERROR((VLOOKUP($B54,$F$8:$G$34,2,0)*(-(VLOOKUP(K$52,$F$8:$G$34,2,0))))/SUMPRODUCT(($G$8:$G$34&gt;0)*($G$8:$G$34)),0)</f>
        <v>481.44358494172445</v>
      </c>
      <c r="L54" s="133" cm="1">
        <f t="array" ref="L54">IFERROR((VLOOKUP($B54,$F$8:$G$34,2,0)*(-(VLOOKUP(L$52,$F$8:$G$34,2,0))))/SUMPRODUCT(($G$8:$G$34&gt;0)*($G$8:$G$34)),0)</f>
        <v>2072.05225492725</v>
      </c>
      <c r="M54" s="133" cm="1">
        <f t="array" ref="M54">IFERROR((VLOOKUP($B54,$F$8:$G$34,2,0)*(-(VLOOKUP(M$52,$F$8:$G$34,2,0))))/SUMPRODUCT(($G$8:$G$34&gt;0)*($G$8:$G$34)),0)</f>
        <v>441.80545399327445</v>
      </c>
      <c r="N54" s="133" cm="1">
        <f t="array" ref="N54">IFERROR((VLOOKUP($B54,$F$8:$G$34,2,0)*(-(VLOOKUP(N$52,$F$8:$G$34,2,0))))/SUMPRODUCT(($G$8:$G$34&gt;0)*($G$8:$G$34)),0)</f>
        <v>2965.9700458453817</v>
      </c>
      <c r="O54" s="133" cm="1">
        <f t="array" ref="O54">IFERROR((VLOOKUP($B54,$F$8:$G$34,2,0)*(-(VLOOKUP(O$52,$F$8:$G$34,2,0))))/SUMPRODUCT(($G$8:$G$34&gt;0)*($G$8:$G$34)),0)</f>
        <v>256.58446139781739</v>
      </c>
      <c r="P54" s="133" cm="1">
        <f t="array" ref="P54">IFERROR((VLOOKUP($B54,$F$8:$G$34,2,0)*(-(VLOOKUP(P$52,$F$8:$G$34,2,0))))/SUMPRODUCT(($G$8:$G$34&gt;0)*($G$8:$G$34)),0)</f>
        <v>3054.6976481294109</v>
      </c>
      <c r="Q54" s="133" cm="1">
        <f t="array" ref="Q54">IFERROR((VLOOKUP($B54,$F$8:$G$34,2,0)*(-(VLOOKUP(Q$52,$F$8:$G$34,2,0))))/SUMPRODUCT(($G$8:$G$34&gt;0)*($G$8:$G$34)),0)</f>
        <v>1124.3761902897731</v>
      </c>
      <c r="R54" s="134">
        <f t="shared" si="1"/>
        <v>33026.693565931142</v>
      </c>
    </row>
    <row r="55" spans="2:18" x14ac:dyDescent="0.2">
      <c r="B55" s="132" t="s">
        <v>132</v>
      </c>
      <c r="C55" s="133" cm="1">
        <f t="array" ref="C55">IFERROR((VLOOKUP($B55,$F$8:$G$34,2,0)*(-(VLOOKUP(C$52,$F$8:$G$34,2,0))))/SUMPRODUCT(($G$8:$G$34&gt;0)*($G$8:$G$34)),0)</f>
        <v>1481005.1826189121</v>
      </c>
      <c r="D55" s="133" cm="1">
        <f t="array" ref="D55">IFERROR((VLOOKUP($B55,$F$8:$G$34,2,0)*(-(VLOOKUP(D$52,$F$8:$G$34,2,0))))/SUMPRODUCT(($G$8:$G$34&gt;0)*($G$8:$G$34)),0)</f>
        <v>256410.90552083214</v>
      </c>
      <c r="E55" s="133" cm="1">
        <f t="array" ref="E55">IFERROR((VLOOKUP($B55,$F$8:$G$34,2,0)*(-(VLOOKUP(E$52,$F$8:$G$34,2,0))))/SUMPRODUCT(($G$8:$G$34&gt;0)*($G$8:$G$34)),0)</f>
        <v>7295560.2765470296</v>
      </c>
      <c r="F55" s="133" cm="1">
        <f t="array" ref="F55">IFERROR((VLOOKUP($B55,$F$8:$G$34,2,0)*(-(VLOOKUP(F$52,$F$8:$G$34,2,0))))/SUMPRODUCT(($G$8:$G$34&gt;0)*($G$8:$G$34)),0)</f>
        <v>1172860.4034813512</v>
      </c>
      <c r="G55" s="133" cm="1">
        <f t="array" ref="G55">IFERROR((VLOOKUP($B55,$F$8:$G$34,2,0)*(-(VLOOKUP(G$52,$F$8:$G$34,2,0))))/SUMPRODUCT(($G$8:$G$34&gt;0)*($G$8:$G$34)),0)</f>
        <v>375649.14542548335</v>
      </c>
      <c r="H55" s="133" cm="1">
        <f t="array" ref="H55">IFERROR((VLOOKUP($B55,$F$8:$G$34,2,0)*(-(VLOOKUP(H$52,$F$8:$G$34,2,0))))/SUMPRODUCT(($G$8:$G$34&gt;0)*($G$8:$G$34)),0)</f>
        <v>780183.50862084189</v>
      </c>
      <c r="I55" s="133" cm="1">
        <f t="array" ref="I55">IFERROR((VLOOKUP($B55,$F$8:$G$34,2,0)*(-(VLOOKUP(I$52,$F$8:$G$34,2,0))))/SUMPRODUCT(($G$8:$G$34&gt;0)*($G$8:$G$34)),0)</f>
        <v>268952.11875349266</v>
      </c>
      <c r="J55" s="133" cm="1">
        <f t="array" ref="J55">IFERROR((VLOOKUP($B55,$F$8:$G$34,2,0)*(-(VLOOKUP(J$52,$F$8:$G$34,2,0))))/SUMPRODUCT(($G$8:$G$34&gt;0)*($G$8:$G$34)),0)</f>
        <v>559839.18195658573</v>
      </c>
      <c r="K55" s="133" cm="1">
        <f t="array" ref="K55">IFERROR((VLOOKUP($B55,$F$8:$G$34,2,0)*(-(VLOOKUP(K$52,$F$8:$G$34,2,0))))/SUMPRODUCT(($G$8:$G$34&gt;0)*($G$8:$G$34)),0)</f>
        <v>259349.55095521588</v>
      </c>
      <c r="L55" s="133" cm="1">
        <f t="array" ref="L55">IFERROR((VLOOKUP($B55,$F$8:$G$34,2,0)*(-(VLOOKUP(L$52,$F$8:$G$34,2,0))))/SUMPRODUCT(($G$8:$G$34&gt;0)*($G$8:$G$34)),0)</f>
        <v>1116196.8684994977</v>
      </c>
      <c r="M55" s="133" cm="1">
        <f t="array" ref="M55">IFERROR((VLOOKUP($B55,$F$8:$G$34,2,0)*(-(VLOOKUP(M$52,$F$8:$G$34,2,0))))/SUMPRODUCT(($G$8:$G$34&gt;0)*($G$8:$G$34)),0)</f>
        <v>237996.82805326069</v>
      </c>
      <c r="N55" s="133" cm="1">
        <f t="array" ref="N55">IFERROR((VLOOKUP($B55,$F$8:$G$34,2,0)*(-(VLOOKUP(N$52,$F$8:$G$34,2,0))))/SUMPRODUCT(($G$8:$G$34&gt;0)*($G$8:$G$34)),0)</f>
        <v>1597742.7544906014</v>
      </c>
      <c r="O55" s="133" cm="1">
        <f t="array" ref="O55">IFERROR((VLOOKUP($B55,$F$8:$G$34,2,0)*(-(VLOOKUP(O$52,$F$8:$G$34,2,0))))/SUMPRODUCT(($G$8:$G$34&gt;0)*($G$8:$G$34)),0)</f>
        <v>138219.85986928185</v>
      </c>
      <c r="P55" s="133" cm="1">
        <f t="array" ref="P55">IFERROR((VLOOKUP($B55,$F$8:$G$34,2,0)*(-(VLOOKUP(P$52,$F$8:$G$34,2,0))))/SUMPRODUCT(($G$8:$G$34&gt;0)*($G$8:$G$34)),0)</f>
        <v>1645539.5567109103</v>
      </c>
      <c r="Q55" s="133" cm="1">
        <f t="array" ref="Q55">IFERROR((VLOOKUP($B55,$F$8:$G$34,2,0)*(-(VLOOKUP(Q$52,$F$8:$G$34,2,0))))/SUMPRODUCT(($G$8:$G$34&gt;0)*($G$8:$G$34)),0)</f>
        <v>605691.85918571544</v>
      </c>
      <c r="R55" s="134">
        <f t="shared" si="1"/>
        <v>17791198.000689011</v>
      </c>
    </row>
    <row r="56" spans="2:18" x14ac:dyDescent="0.2">
      <c r="B56" s="132" t="s">
        <v>28</v>
      </c>
      <c r="C56" s="133" cm="1">
        <f t="array" ref="C56">IFERROR((VLOOKUP($B56,$F$8:$G$34,2,0)*(-(VLOOKUP(C$52,$F$8:$G$34,2,0))))/SUMPRODUCT(($G$8:$G$34&gt;0)*($G$8:$G$34)),0)</f>
        <v>37882.65040366949</v>
      </c>
      <c r="D56" s="133" cm="1">
        <f t="array" ref="D56">IFERROR((VLOOKUP($B56,$F$8:$G$34,2,0)*(-(VLOOKUP(D$52,$F$8:$G$34,2,0))))/SUMPRODUCT(($G$8:$G$34&gt;0)*($G$8:$G$34)),0)</f>
        <v>6558.737813703834</v>
      </c>
      <c r="E56" s="133" cm="1">
        <f t="array" ref="E56">IFERROR((VLOOKUP($B56,$F$8:$G$34,2,0)*(-(VLOOKUP(E$52,$F$8:$G$34,2,0))))/SUMPRODUCT(($G$8:$G$34&gt;0)*($G$8:$G$34)),0)</f>
        <v>186613.22910876368</v>
      </c>
      <c r="F56" s="133" cm="1">
        <f t="array" ref="F56">IFERROR((VLOOKUP($B56,$F$8:$G$34,2,0)*(-(VLOOKUP(F$52,$F$8:$G$34,2,0))))/SUMPRODUCT(($G$8:$G$34&gt;0)*($G$8:$G$34)),0)</f>
        <v>30000.611178700812</v>
      </c>
      <c r="G56" s="133" cm="1">
        <f t="array" ref="G56">IFERROR((VLOOKUP($B56,$F$8:$G$34,2,0)*(-(VLOOKUP(G$52,$F$8:$G$34,2,0))))/SUMPRODUCT(($G$8:$G$34&gt;0)*($G$8:$G$34)),0)</f>
        <v>9608.7342688607987</v>
      </c>
      <c r="H56" s="133" cm="1">
        <f t="array" ref="H56">IFERROR((VLOOKUP($B56,$F$8:$G$34,2,0)*(-(VLOOKUP(H$52,$F$8:$G$34,2,0))))/SUMPRODUCT(($G$8:$G$34&gt;0)*($G$8:$G$34)),0)</f>
        <v>19956.323890459153</v>
      </c>
      <c r="I56" s="133" cm="1">
        <f t="array" ref="I56">IFERROR((VLOOKUP($B56,$F$8:$G$34,2,0)*(-(VLOOKUP(I$52,$F$8:$G$34,2,0))))/SUMPRODUCT(($G$8:$G$34&gt;0)*($G$8:$G$34)),0)</f>
        <v>6879.5296664984517</v>
      </c>
      <c r="J56" s="133" cm="1">
        <f t="array" ref="J56">IFERROR((VLOOKUP($B56,$F$8:$G$34,2,0)*(-(VLOOKUP(J$52,$F$8:$G$34,2,0))))/SUMPRODUCT(($G$8:$G$34&gt;0)*($G$8:$G$34)),0)</f>
        <v>14320.133556072016</v>
      </c>
      <c r="K56" s="133" cm="1">
        <f t="array" ref="K56">IFERROR((VLOOKUP($B56,$F$8:$G$34,2,0)*(-(VLOOKUP(K$52,$F$8:$G$34,2,0))))/SUMPRODUCT(($G$8:$G$34&gt;0)*($G$8:$G$34)),0)</f>
        <v>6633.90546264767</v>
      </c>
      <c r="L56" s="133" cm="1">
        <f t="array" ref="L56">IFERROR((VLOOKUP($B56,$F$8:$G$34,2,0)*(-(VLOOKUP(L$52,$F$8:$G$34,2,0))))/SUMPRODUCT(($G$8:$G$34&gt;0)*($G$8:$G$34)),0)</f>
        <v>28551.213896675232</v>
      </c>
      <c r="M56" s="133" cm="1">
        <f t="array" ref="M56">IFERROR((VLOOKUP($B56,$F$8:$G$34,2,0)*(-(VLOOKUP(M$52,$F$8:$G$34,2,0))))/SUMPRODUCT(($G$8:$G$34&gt;0)*($G$8:$G$34)),0)</f>
        <v>6087.7238919452675</v>
      </c>
      <c r="N56" s="133" cm="1">
        <f t="array" ref="N56">IFERROR((VLOOKUP($B56,$F$8:$G$34,2,0)*(-(VLOOKUP(N$52,$F$8:$G$34,2,0))))/SUMPRODUCT(($G$8:$G$34&gt;0)*($G$8:$G$34)),0)</f>
        <v>40868.682239404392</v>
      </c>
      <c r="O56" s="133" cm="1">
        <f t="array" ref="O56">IFERROR((VLOOKUP($B56,$F$8:$G$34,2,0)*(-(VLOOKUP(O$52,$F$8:$G$34,2,0))))/SUMPRODUCT(($G$8:$G$34&gt;0)*($G$8:$G$34)),0)</f>
        <v>3535.5275536665949</v>
      </c>
      <c r="P56" s="133" cm="1">
        <f t="array" ref="P56">IFERROR((VLOOKUP($B56,$F$8:$G$34,2,0)*(-(VLOOKUP(P$52,$F$8:$G$34,2,0))))/SUMPRODUCT(($G$8:$G$34&gt;0)*($G$8:$G$34)),0)</f>
        <v>42091.277251343126</v>
      </c>
      <c r="Q56" s="133" cm="1">
        <f t="array" ref="Q56">IFERROR((VLOOKUP($B56,$F$8:$G$34,2,0)*(-(VLOOKUP(Q$52,$F$8:$G$34,2,0))))/SUMPRODUCT(($G$8:$G$34&gt;0)*($G$8:$G$34)),0)</f>
        <v>15492.999770133325</v>
      </c>
      <c r="R56" s="134">
        <f t="shared" si="1"/>
        <v>455081.2799525439</v>
      </c>
    </row>
    <row r="57" spans="2:18" x14ac:dyDescent="0.2">
      <c r="B57" s="132" t="s">
        <v>121</v>
      </c>
      <c r="C57" s="133" cm="1">
        <f t="array" ref="C57">IFERROR((VLOOKUP($B57,$F$8:$G$34,2,0)*(-(VLOOKUP(C$52,$F$8:$G$34,2,0))))/SUMPRODUCT(($G$8:$G$34&gt;0)*($G$8:$G$34)),0)</f>
        <v>3732.0124282500669</v>
      </c>
      <c r="D57" s="133" cm="1">
        <f t="array" ref="D57">IFERROR((VLOOKUP($B57,$F$8:$G$34,2,0)*(-(VLOOKUP(D$52,$F$8:$G$34,2,0))))/SUMPRODUCT(($G$8:$G$34&gt;0)*($G$8:$G$34)),0)</f>
        <v>646.13459653829807</v>
      </c>
      <c r="E57" s="133" cm="1">
        <f t="array" ref="E57">IFERROR((VLOOKUP($B57,$F$8:$G$34,2,0)*(-(VLOOKUP(E$52,$F$8:$G$34,2,0))))/SUMPRODUCT(($G$8:$G$34&gt;0)*($G$8:$G$34)),0)</f>
        <v>18384.21765342803</v>
      </c>
      <c r="F57" s="133" cm="1">
        <f t="array" ref="F57">IFERROR((VLOOKUP($B57,$F$8:$G$34,2,0)*(-(VLOOKUP(F$52,$F$8:$G$34,2,0))))/SUMPRODUCT(($G$8:$G$34&gt;0)*($G$8:$G$34)),0)</f>
        <v>2955.512684064051</v>
      </c>
      <c r="G57" s="133" cm="1">
        <f t="array" ref="G57">IFERROR((VLOOKUP($B57,$F$8:$G$34,2,0)*(-(VLOOKUP(G$52,$F$8:$G$34,2,0))))/SUMPRODUCT(($G$8:$G$34&gt;0)*($G$8:$G$34)),0)</f>
        <v>946.60524881509525</v>
      </c>
      <c r="H57" s="133" cm="1">
        <f t="array" ref="H57">IFERROR((VLOOKUP($B57,$F$8:$G$34,2,0)*(-(VLOOKUP(H$52,$F$8:$G$34,2,0))))/SUMPRODUCT(($G$8:$G$34&gt;0)*($G$8:$G$34)),0)</f>
        <v>1965.9988936297625</v>
      </c>
      <c r="I57" s="133" cm="1">
        <f t="array" ref="I57">IFERROR((VLOOKUP($B57,$F$8:$G$34,2,0)*(-(VLOOKUP(I$52,$F$8:$G$34,2,0))))/SUMPRODUCT(($G$8:$G$34&gt;0)*($G$8:$G$34)),0)</f>
        <v>677.73743236825658</v>
      </c>
      <c r="J57" s="133" cm="1">
        <f t="array" ref="J57">IFERROR((VLOOKUP($B57,$F$8:$G$34,2,0)*(-(VLOOKUP(J$52,$F$8:$G$34,2,0))))/SUMPRODUCT(($G$8:$G$34&gt;0)*($G$8:$G$34)),0)</f>
        <v>1410.7491380878901</v>
      </c>
      <c r="K57" s="133" cm="1">
        <f t="array" ref="K57">IFERROR((VLOOKUP($B57,$F$8:$G$34,2,0)*(-(VLOOKUP(K$52,$F$8:$G$34,2,0))))/SUMPRODUCT(($G$8:$G$34&gt;0)*($G$8:$G$34)),0)</f>
        <v>653.53974367218393</v>
      </c>
      <c r="L57" s="133" cm="1">
        <f t="array" ref="L57">IFERROR((VLOOKUP($B57,$F$8:$G$34,2,0)*(-(VLOOKUP(L$52,$F$8:$G$34,2,0))))/SUMPRODUCT(($G$8:$G$34&gt;0)*($G$8:$G$34)),0)</f>
        <v>2812.7251913107093</v>
      </c>
      <c r="M57" s="133" cm="1">
        <f t="array" ref="M57">IFERROR((VLOOKUP($B57,$F$8:$G$34,2,0)*(-(VLOOKUP(M$52,$F$8:$G$34,2,0))))/SUMPRODUCT(($G$8:$G$34&gt;0)*($G$8:$G$34)),0)</f>
        <v>599.73262119732499</v>
      </c>
      <c r="N57" s="133" cm="1">
        <f t="array" ref="N57">IFERROR((VLOOKUP($B57,$F$8:$G$34,2,0)*(-(VLOOKUP(N$52,$F$8:$G$34,2,0))))/SUMPRODUCT(($G$8:$G$34&gt;0)*($G$8:$G$34)),0)</f>
        <v>4026.1816007700963</v>
      </c>
      <c r="O57" s="133" cm="1">
        <f t="array" ref="O57">IFERROR((VLOOKUP($B57,$F$8:$G$34,2,0)*(-(VLOOKUP(O$52,$F$8:$G$34,2,0))))/SUMPRODUCT(($G$8:$G$34&gt;0)*($G$8:$G$34)),0)</f>
        <v>348.30278848246041</v>
      </c>
      <c r="P57" s="133" cm="1">
        <f t="array" ref="P57">IFERROR((VLOOKUP($B57,$F$8:$G$34,2,0)*(-(VLOOKUP(P$52,$F$8:$G$34,2,0))))/SUMPRODUCT(($G$8:$G$34&gt;0)*($G$8:$G$34)),0)</f>
        <v>4146.6256491841405</v>
      </c>
      <c r="Q57" s="133" cm="1">
        <f t="array" ref="Q57">IFERROR((VLOOKUP($B57,$F$8:$G$34,2,0)*(-(VLOOKUP(Q$52,$F$8:$G$34,2,0))))/SUMPRODUCT(($G$8:$G$34&gt;0)*($G$8:$G$34)),0)</f>
        <v>1526.2941498784962</v>
      </c>
      <c r="R57" s="134">
        <f t="shared" si="1"/>
        <v>44832.369819676867</v>
      </c>
    </row>
    <row r="58" spans="2:18" x14ac:dyDescent="0.2">
      <c r="B58" s="132" t="s">
        <v>19</v>
      </c>
      <c r="C58" s="133" cm="1">
        <f t="array" ref="C58">IFERROR((VLOOKUP($B58,$F$8:$G$34,2,0)*(-(VLOOKUP(C$52,$F$8:$G$34,2,0))))/SUMPRODUCT(($G$8:$G$34&gt;0)*($G$8:$G$34)),0)</f>
        <v>0</v>
      </c>
      <c r="D58" s="133" cm="1">
        <f t="array" ref="D58">IFERROR((VLOOKUP($B58,$F$8:$G$34,2,0)*(-(VLOOKUP(D$52,$F$8:$G$34,2,0))))/SUMPRODUCT(($G$8:$G$34&gt;0)*($G$8:$G$34)),0)</f>
        <v>0</v>
      </c>
      <c r="E58" s="133" cm="1">
        <f t="array" ref="E58">IFERROR((VLOOKUP($B58,$F$8:$G$34,2,0)*(-(VLOOKUP(E$52,$F$8:$G$34,2,0))))/SUMPRODUCT(($G$8:$G$34&gt;0)*($G$8:$G$34)),0)</f>
        <v>0</v>
      </c>
      <c r="F58" s="133" cm="1">
        <f t="array" ref="F58">IFERROR((VLOOKUP($B58,$F$8:$G$34,2,0)*(-(VLOOKUP(F$52,$F$8:$G$34,2,0))))/SUMPRODUCT(($G$8:$G$34&gt;0)*($G$8:$G$34)),0)</f>
        <v>0</v>
      </c>
      <c r="G58" s="133" cm="1">
        <f t="array" ref="G58">IFERROR((VLOOKUP($B58,$F$8:$G$34,2,0)*(-(VLOOKUP(G$52,$F$8:$G$34,2,0))))/SUMPRODUCT(($G$8:$G$34&gt;0)*($G$8:$G$34)),0)</f>
        <v>0</v>
      </c>
      <c r="H58" s="133" cm="1">
        <f t="array" ref="H58">IFERROR((VLOOKUP($B58,$F$8:$G$34,2,0)*(-(VLOOKUP(H$52,$F$8:$G$34,2,0))))/SUMPRODUCT(($G$8:$G$34&gt;0)*($G$8:$G$34)),0)</f>
        <v>0</v>
      </c>
      <c r="I58" s="133" cm="1">
        <f t="array" ref="I58">IFERROR((VLOOKUP($B58,$F$8:$G$34,2,0)*(-(VLOOKUP(I$52,$F$8:$G$34,2,0))))/SUMPRODUCT(($G$8:$G$34&gt;0)*($G$8:$G$34)),0)</f>
        <v>0</v>
      </c>
      <c r="J58" s="133" cm="1">
        <f t="array" ref="J58">IFERROR((VLOOKUP($B58,$F$8:$G$34,2,0)*(-(VLOOKUP(J$52,$F$8:$G$34,2,0))))/SUMPRODUCT(($G$8:$G$34&gt;0)*($G$8:$G$34)),0)</f>
        <v>0</v>
      </c>
      <c r="K58" s="133" cm="1">
        <f t="array" ref="K58">IFERROR((VLOOKUP($B58,$F$8:$G$34,2,0)*(-(VLOOKUP(K$52,$F$8:$G$34,2,0))))/SUMPRODUCT(($G$8:$G$34&gt;0)*($G$8:$G$34)),0)</f>
        <v>0</v>
      </c>
      <c r="L58" s="133" cm="1">
        <f t="array" ref="L58">IFERROR((VLOOKUP($B58,$F$8:$G$34,2,0)*(-(VLOOKUP(L$52,$F$8:$G$34,2,0))))/SUMPRODUCT(($G$8:$G$34&gt;0)*($G$8:$G$34)),0)</f>
        <v>0</v>
      </c>
      <c r="M58" s="133" cm="1">
        <f t="array" ref="M58">IFERROR((VLOOKUP($B58,$F$8:$G$34,2,0)*(-(VLOOKUP(M$52,$F$8:$G$34,2,0))))/SUMPRODUCT(($G$8:$G$34&gt;0)*($G$8:$G$34)),0)</f>
        <v>0</v>
      </c>
      <c r="N58" s="133" cm="1">
        <f t="array" ref="N58">IFERROR((VLOOKUP($B58,$F$8:$G$34,2,0)*(-(VLOOKUP(N$52,$F$8:$G$34,2,0))))/SUMPRODUCT(($G$8:$G$34&gt;0)*($G$8:$G$34)),0)</f>
        <v>0</v>
      </c>
      <c r="O58" s="133" cm="1">
        <f t="array" ref="O58">IFERROR((VLOOKUP($B58,$F$8:$G$34,2,0)*(-(VLOOKUP(O$52,$F$8:$G$34,2,0))))/SUMPRODUCT(($G$8:$G$34&gt;0)*($G$8:$G$34)),0)</f>
        <v>0</v>
      </c>
      <c r="P58" s="133" cm="1">
        <f t="array" ref="P58">IFERROR((VLOOKUP($B58,$F$8:$G$34,2,0)*(-(VLOOKUP(P$52,$F$8:$G$34,2,0))))/SUMPRODUCT(($G$8:$G$34&gt;0)*($G$8:$G$34)),0)</f>
        <v>0</v>
      </c>
      <c r="Q58" s="133" cm="1">
        <f t="array" ref="Q58">IFERROR((VLOOKUP($B58,$F$8:$G$34,2,0)*(-(VLOOKUP(Q$52,$F$8:$G$34,2,0))))/SUMPRODUCT(($G$8:$G$34&gt;0)*($G$8:$G$34)),0)</f>
        <v>0</v>
      </c>
      <c r="R58" s="134">
        <f t="shared" si="1"/>
        <v>0</v>
      </c>
    </row>
    <row r="59" spans="2:18" x14ac:dyDescent="0.2">
      <c r="B59" s="132" t="s">
        <v>22</v>
      </c>
      <c r="C59" s="133" cm="1">
        <f t="array" ref="C59">IFERROR((VLOOKUP($B59,$F$8:$G$34,2,0)*(-(VLOOKUP(C$52,$F$8:$G$34,2,0))))/SUMPRODUCT(($G$8:$G$34&gt;0)*($G$8:$G$34)),0)</f>
        <v>17828.038026116155</v>
      </c>
      <c r="D59" s="133" cm="1">
        <f t="array" ref="D59">IFERROR((VLOOKUP($B59,$F$8:$G$34,2,0)*(-(VLOOKUP(D$52,$F$8:$G$34,2,0))))/SUMPRODUCT(($G$8:$G$34&gt;0)*($G$8:$G$34)),0)</f>
        <v>3086.6221317690997</v>
      </c>
      <c r="E59" s="133" cm="1">
        <f t="array" ref="E59">IFERROR((VLOOKUP($B59,$F$8:$G$34,2,0)*(-(VLOOKUP(E$52,$F$8:$G$34,2,0))))/SUMPRODUCT(($G$8:$G$34&gt;0)*($G$8:$G$34)),0)</f>
        <v>87822.465146343107</v>
      </c>
      <c r="F59" s="133" cm="1">
        <f t="array" ref="F59">IFERROR((VLOOKUP($B59,$F$8:$G$34,2,0)*(-(VLOOKUP(F$52,$F$8:$G$34,2,0))))/SUMPRODUCT(($G$8:$G$34&gt;0)*($G$8:$G$34)),0)</f>
        <v>14118.654085744623</v>
      </c>
      <c r="G59" s="133" cm="1">
        <f t="array" ref="G59">IFERROR((VLOOKUP($B59,$F$8:$G$34,2,0)*(-(VLOOKUP(G$52,$F$8:$G$34,2,0))))/SUMPRODUCT(($G$8:$G$34&gt;0)*($G$8:$G$34)),0)</f>
        <v>4521.9877200435358</v>
      </c>
      <c r="H59" s="133" cm="1">
        <f t="array" ref="H59">IFERROR((VLOOKUP($B59,$F$8:$G$34,2,0)*(-(VLOOKUP(H$52,$F$8:$G$34,2,0))))/SUMPRODUCT(($G$8:$G$34&gt;0)*($G$8:$G$34)),0)</f>
        <v>9391.6897943902404</v>
      </c>
      <c r="I59" s="133" cm="1">
        <f t="array" ref="I59">IFERROR((VLOOKUP($B59,$F$8:$G$34,2,0)*(-(VLOOKUP(I$52,$F$8:$G$34,2,0))))/SUMPRODUCT(($G$8:$G$34&gt;0)*($G$8:$G$34)),0)</f>
        <v>3237.5906962478075</v>
      </c>
      <c r="J59" s="133" cm="1">
        <f t="array" ref="J59">IFERROR((VLOOKUP($B59,$F$8:$G$34,2,0)*(-(VLOOKUP(J$52,$F$8:$G$34,2,0))))/SUMPRODUCT(($G$8:$G$34&gt;0)*($G$8:$G$34)),0)</f>
        <v>6739.229775538206</v>
      </c>
      <c r="K59" s="133" cm="1">
        <f t="array" ref="K59">IFERROR((VLOOKUP($B59,$F$8:$G$34,2,0)*(-(VLOOKUP(K$52,$F$8:$G$34,2,0))))/SUMPRODUCT(($G$8:$G$34&gt;0)*($G$8:$G$34)),0)</f>
        <v>3121.996945553899</v>
      </c>
      <c r="L59" s="133" cm="1">
        <f t="array" ref="L59">IFERROR((VLOOKUP($B59,$F$8:$G$34,2,0)*(-(VLOOKUP(L$52,$F$8:$G$34,2,0))))/SUMPRODUCT(($G$8:$G$34&gt;0)*($G$8:$G$34)),0)</f>
        <v>13436.550020069257</v>
      </c>
      <c r="M59" s="133" cm="1">
        <f t="array" ref="M59">IFERROR((VLOOKUP($B59,$F$8:$G$34,2,0)*(-(VLOOKUP(M$52,$F$8:$G$34,2,0))))/SUMPRODUCT(($G$8:$G$34&gt;0)*($G$8:$G$34)),0)</f>
        <v>2864.9572266354185</v>
      </c>
      <c r="N59" s="133" cm="1">
        <f t="array" ref="N59">IFERROR((VLOOKUP($B59,$F$8:$G$34,2,0)*(-(VLOOKUP(N$52,$F$8:$G$34,2,0))))/SUMPRODUCT(($G$8:$G$34&gt;0)*($G$8:$G$34)),0)</f>
        <v>19233.301083146573</v>
      </c>
      <c r="O59" s="133" cm="1">
        <f t="array" ref="O59">IFERROR((VLOOKUP($B59,$F$8:$G$34,2,0)*(-(VLOOKUP(O$52,$F$8:$G$34,2,0))))/SUMPRODUCT(($G$8:$G$34&gt;0)*($G$8:$G$34)),0)</f>
        <v>1663.8624541181509</v>
      </c>
      <c r="P59" s="133" cm="1">
        <f t="array" ref="P59">IFERROR((VLOOKUP($B59,$F$8:$G$34,2,0)*(-(VLOOKUP(P$52,$F$8:$G$34,2,0))))/SUMPRODUCT(($G$8:$G$34&gt;0)*($G$8:$G$34)),0)</f>
        <v>19808.669230072013</v>
      </c>
      <c r="Q59" s="133" cm="1">
        <f t="array" ref="Q59">IFERROR((VLOOKUP($B59,$F$8:$G$34,2,0)*(-(VLOOKUP(Q$52,$F$8:$G$34,2,0))))/SUMPRODUCT(($G$8:$G$34&gt;0)*($G$8:$G$34)),0)</f>
        <v>7291.1949427326972</v>
      </c>
      <c r="R59" s="134">
        <f t="shared" si="1"/>
        <v>214166.80927852076</v>
      </c>
    </row>
    <row r="60" spans="2:18" x14ac:dyDescent="0.2">
      <c r="B60" s="132" t="s">
        <v>36</v>
      </c>
      <c r="C60" s="133" cm="1">
        <f t="array" ref="C60">IFERROR((VLOOKUP($B60,$F$8:$G$34,2,0)*(-(VLOOKUP(C$52,$F$8:$G$34,2,0))))/SUMPRODUCT(($G$8:$G$34&gt;0)*($G$8:$G$34)),0)</f>
        <v>6797.5836315265478</v>
      </c>
      <c r="D60" s="133" cm="1">
        <f t="array" ref="D60">IFERROR((VLOOKUP($B60,$F$8:$G$34,2,0)*(-(VLOOKUP(D$52,$F$8:$G$34,2,0))))/SUMPRODUCT(($G$8:$G$34&gt;0)*($G$8:$G$34)),0)</f>
        <v>1176.8862086161962</v>
      </c>
      <c r="E60" s="133" cm="1">
        <f t="array" ref="E60">IFERROR((VLOOKUP($B60,$F$8:$G$34,2,0)*(-(VLOOKUP(E$52,$F$8:$G$34,2,0))))/SUMPRODUCT(($G$8:$G$34&gt;0)*($G$8:$G$34)),0)</f>
        <v>33485.487897466934</v>
      </c>
      <c r="F60" s="133" cm="1">
        <f t="array" ref="F60">IFERROR((VLOOKUP($B60,$F$8:$G$34,2,0)*(-(VLOOKUP(F$52,$F$8:$G$34,2,0))))/SUMPRODUCT(($G$8:$G$34&gt;0)*($G$8:$G$34)),0)</f>
        <v>5383.2469827500572</v>
      </c>
      <c r="G60" s="133" cm="1">
        <f t="array" ref="G60">IFERROR((VLOOKUP($B60,$F$8:$G$34,2,0)*(-(VLOOKUP(G$52,$F$8:$G$34,2,0))))/SUMPRODUCT(($G$8:$G$34&gt;0)*($G$8:$G$34)),0)</f>
        <v>1724.1711994726102</v>
      </c>
      <c r="H60" s="133" cm="1">
        <f t="array" ref="H60">IFERROR((VLOOKUP($B60,$F$8:$G$34,2,0)*(-(VLOOKUP(H$52,$F$8:$G$34,2,0))))/SUMPRODUCT(($G$8:$G$34&gt;0)*($G$8:$G$34)),0)</f>
        <v>3580.9210595805403</v>
      </c>
      <c r="I60" s="133" cm="1">
        <f t="array" ref="I60">IFERROR((VLOOKUP($B60,$F$8:$G$34,2,0)*(-(VLOOKUP(I$52,$F$8:$G$34,2,0))))/SUMPRODUCT(($G$8:$G$34&gt;0)*($G$8:$G$34)),0)</f>
        <v>1234.4484283776874</v>
      </c>
      <c r="J60" s="133" cm="1">
        <f t="array" ref="J60">IFERROR((VLOOKUP($B60,$F$8:$G$34,2,0)*(-(VLOOKUP(J$52,$F$8:$G$34,2,0))))/SUMPRODUCT(($G$8:$G$34&gt;0)*($G$8:$G$34)),0)</f>
        <v>2569.5748429629457</v>
      </c>
      <c r="K60" s="133" cm="1">
        <f t="array" ref="K60">IFERROR((VLOOKUP($B60,$F$8:$G$34,2,0)*(-(VLOOKUP(K$52,$F$8:$G$34,2,0))))/SUMPRODUCT(($G$8:$G$34&gt;0)*($G$8:$G$34)),0)</f>
        <v>1190.3741344776731</v>
      </c>
      <c r="L60" s="133" cm="1">
        <f t="array" ref="L60">IFERROR((VLOOKUP($B60,$F$8:$G$34,2,0)*(-(VLOOKUP(L$52,$F$8:$G$34,2,0))))/SUMPRODUCT(($G$8:$G$34&gt;0)*($G$8:$G$34)),0)</f>
        <v>5123.170163021472</v>
      </c>
      <c r="M60" s="133" cm="1">
        <f t="array" ref="M60">IFERROR((VLOOKUP($B60,$F$8:$G$34,2,0)*(-(VLOOKUP(M$52,$F$8:$G$34,2,0))))/SUMPRODUCT(($G$8:$G$34&gt;0)*($G$8:$G$34)),0)</f>
        <v>1092.3684546932284</v>
      </c>
      <c r="N60" s="133" cm="1">
        <f t="array" ref="N60">IFERROR((VLOOKUP($B60,$F$8:$G$34,2,0)*(-(VLOOKUP(N$52,$F$8:$G$34,2,0))))/SUMPRODUCT(($G$8:$G$34&gt;0)*($G$8:$G$34)),0)</f>
        <v>7333.3909447298129</v>
      </c>
      <c r="O60" s="133" cm="1">
        <f t="array" ref="O60">IFERROR((VLOOKUP($B60,$F$8:$G$34,2,0)*(-(VLOOKUP(O$52,$F$8:$G$34,2,0))))/SUMPRODUCT(($G$8:$G$34&gt;0)*($G$8:$G$34)),0)</f>
        <v>634.40767664152645</v>
      </c>
      <c r="P60" s="133" cm="1">
        <f t="array" ref="P60">IFERROR((VLOOKUP($B60,$F$8:$G$34,2,0)*(-(VLOOKUP(P$52,$F$8:$G$34,2,0))))/SUMPRODUCT(($G$8:$G$34&gt;0)*($G$8:$G$34)),0)</f>
        <v>7552.7708390240023</v>
      </c>
      <c r="Q60" s="133" cm="1">
        <f t="array" ref="Q60">IFERROR((VLOOKUP($B60,$F$8:$G$34,2,0)*(-(VLOOKUP(Q$52,$F$8:$G$34,2,0))))/SUMPRODUCT(($G$8:$G$34&gt;0)*($G$8:$G$34)),0)</f>
        <v>2780.03150567579</v>
      </c>
      <c r="R60" s="134">
        <f t="shared" si="1"/>
        <v>81658.833969017025</v>
      </c>
    </row>
    <row r="61" spans="2:18" x14ac:dyDescent="0.2">
      <c r="B61" s="132" t="s">
        <v>25</v>
      </c>
      <c r="C61" s="133" cm="1">
        <f t="array" ref="C61">IFERROR((VLOOKUP($B61,$F$8:$G$34,2,0)*(-(VLOOKUP(C$52,$F$8:$G$34,2,0))))/SUMPRODUCT(($G$8:$G$34&gt;0)*($G$8:$G$34)),0)</f>
        <v>16027.459767243588</v>
      </c>
      <c r="D61" s="133" cm="1">
        <f t="array" ref="D61">IFERROR((VLOOKUP($B61,$F$8:$G$34,2,0)*(-(VLOOKUP(D$52,$F$8:$G$34,2,0))))/SUMPRODUCT(($G$8:$G$34&gt;0)*($G$8:$G$34)),0)</f>
        <v>2774.882573233444</v>
      </c>
      <c r="E61" s="133" cm="1">
        <f t="array" ref="E61">IFERROR((VLOOKUP($B61,$F$8:$G$34,2,0)*(-(VLOOKUP(E$52,$F$8:$G$34,2,0))))/SUMPRODUCT(($G$8:$G$34&gt;0)*($G$8:$G$34)),0)</f>
        <v>78952.66011499564</v>
      </c>
      <c r="F61" s="133" cm="1">
        <f t="array" ref="F61">IFERROR((VLOOKUP($B61,$F$8:$G$34,2,0)*(-(VLOOKUP(F$52,$F$8:$G$34,2,0))))/SUMPRODUCT(($G$8:$G$34&gt;0)*($G$8:$G$34)),0)</f>
        <v>12692.712456380024</v>
      </c>
      <c r="G61" s="133" cm="1">
        <f t="array" ref="G61">IFERROR((VLOOKUP($B61,$F$8:$G$34,2,0)*(-(VLOOKUP(G$52,$F$8:$G$34,2,0))))/SUMPRODUCT(($G$8:$G$34&gt;0)*($G$8:$G$34)),0)</f>
        <v>4065.280551050982</v>
      </c>
      <c r="H61" s="133" cm="1">
        <f t="array" ref="H61">IFERROR((VLOOKUP($B61,$F$8:$G$34,2,0)*(-(VLOOKUP(H$52,$F$8:$G$34,2,0))))/SUMPRODUCT(($G$8:$G$34&gt;0)*($G$8:$G$34)),0)</f>
        <v>8443.1573516681401</v>
      </c>
      <c r="I61" s="133" cm="1">
        <f t="array" ref="I61">IFERROR((VLOOKUP($B61,$F$8:$G$34,2,0)*(-(VLOOKUP(I$52,$F$8:$G$34,2,0))))/SUMPRODUCT(($G$8:$G$34&gt;0)*($G$8:$G$34)),0)</f>
        <v>2910.603766432409</v>
      </c>
      <c r="J61" s="133" cm="1">
        <f t="array" ref="J61">IFERROR((VLOOKUP($B61,$F$8:$G$34,2,0)*(-(VLOOKUP(J$52,$F$8:$G$34,2,0))))/SUMPRODUCT(($G$8:$G$34&gt;0)*($G$8:$G$34)),0)</f>
        <v>6058.5878228115525</v>
      </c>
      <c r="K61" s="133" cm="1">
        <f t="array" ref="K61">IFERROR((VLOOKUP($B61,$F$8:$G$34,2,0)*(-(VLOOKUP(K$52,$F$8:$G$34,2,0))))/SUMPRODUCT(($G$8:$G$34&gt;0)*($G$8:$G$34)),0)</f>
        <v>2806.6846371441816</v>
      </c>
      <c r="L61" s="133" cm="1">
        <f t="array" ref="L61">IFERROR((VLOOKUP($B61,$F$8:$G$34,2,0)*(-(VLOOKUP(L$52,$F$8:$G$34,2,0))))/SUMPRODUCT(($G$8:$G$34&gt;0)*($G$8:$G$34)),0)</f>
        <v>12079.498851289525</v>
      </c>
      <c r="M61" s="133" cm="1">
        <f t="array" ref="M61">IFERROR((VLOOKUP($B61,$F$8:$G$34,2,0)*(-(VLOOKUP(M$52,$F$8:$G$34,2,0))))/SUMPRODUCT(($G$8:$G$34&gt;0)*($G$8:$G$34)),0)</f>
        <v>2575.6051573094041</v>
      </c>
      <c r="N61" s="133" cm="1">
        <f t="array" ref="N61">IFERROR((VLOOKUP($B61,$F$8:$G$34,2,0)*(-(VLOOKUP(N$52,$F$8:$G$34,2,0))))/SUMPRODUCT(($G$8:$G$34&gt;0)*($G$8:$G$34)),0)</f>
        <v>17290.795479000277</v>
      </c>
      <c r="O61" s="133" cm="1">
        <f t="array" ref="O61">IFERROR((VLOOKUP($B61,$F$8:$G$34,2,0)*(-(VLOOKUP(O$52,$F$8:$G$34,2,0))))/SUMPRODUCT(($G$8:$G$34&gt;0)*($G$8:$G$34)),0)</f>
        <v>1495.8173469532007</v>
      </c>
      <c r="P61" s="133" cm="1">
        <f t="array" ref="P61">IFERROR((VLOOKUP($B61,$F$8:$G$34,2,0)*(-(VLOOKUP(P$52,$F$8:$G$34,2,0))))/SUMPRODUCT(($G$8:$G$34&gt;0)*($G$8:$G$34)),0)</f>
        <v>17808.053172342203</v>
      </c>
      <c r="Q61" s="133" cm="1">
        <f t="array" ref="Q61">IFERROR((VLOOKUP($B61,$F$8:$G$34,2,0)*(-(VLOOKUP(Q$52,$F$8:$G$34,2,0))))/SUMPRODUCT(($G$8:$G$34&gt;0)*($G$8:$G$34)),0)</f>
        <v>6554.8061670382285</v>
      </c>
      <c r="R61" s="134">
        <f t="shared" si="1"/>
        <v>192536.60521489283</v>
      </c>
    </row>
    <row r="62" spans="2:18" x14ac:dyDescent="0.2">
      <c r="B62" s="132" t="s">
        <v>23</v>
      </c>
      <c r="C62" s="133" cm="1">
        <f t="array" ref="C62">IFERROR((VLOOKUP($B62,$F$8:$G$34,2,0)*(-(VLOOKUP(C$52,$F$8:$G$34,2,0))))/SUMPRODUCT(($G$8:$G$34&gt;0)*($G$8:$G$34)),0)</f>
        <v>20.029032803818406</v>
      </c>
      <c r="D62" s="133" cm="1">
        <f t="array" ref="D62">IFERROR((VLOOKUP($B62,$F$8:$G$34,2,0)*(-(VLOOKUP(D$52,$F$8:$G$34,2,0))))/SUMPRODUCT(($G$8:$G$34&gt;0)*($G$8:$G$34)),0)</f>
        <v>3.4676870129866542</v>
      </c>
      <c r="E62" s="133" cm="1">
        <f t="array" ref="E62">IFERROR((VLOOKUP($B62,$F$8:$G$34,2,0)*(-(VLOOKUP(E$52,$F$8:$G$34,2,0))))/SUMPRODUCT(($G$8:$G$34&gt;0)*($G$8:$G$34)),0)</f>
        <v>98.664756758514926</v>
      </c>
      <c r="F62" s="133" cm="1">
        <f t="array" ref="F62">IFERROR((VLOOKUP($B62,$F$8:$G$34,2,0)*(-(VLOOKUP(F$52,$F$8:$G$34,2,0))))/SUMPRODUCT(($G$8:$G$34&gt;0)*($G$8:$G$34)),0)</f>
        <v>15.861699723485962</v>
      </c>
      <c r="G62" s="133" cm="1">
        <f t="array" ref="G62">IFERROR((VLOOKUP($B62,$F$8:$G$34,2,0)*(-(VLOOKUP(G$52,$F$8:$G$34,2,0))))/SUMPRODUCT(($G$8:$G$34&gt;0)*($G$8:$G$34)),0)</f>
        <v>5.0802584249898484</v>
      </c>
      <c r="H62" s="133" cm="1">
        <f t="array" ref="H62">IFERROR((VLOOKUP($B62,$F$8:$G$34,2,0)*(-(VLOOKUP(H$52,$F$8:$G$34,2,0))))/SUMPRODUCT(($G$8:$G$34&gt;0)*($G$8:$G$34)),0)</f>
        <v>10.551158949715777</v>
      </c>
      <c r="I62" s="133" cm="1">
        <f t="array" ref="I62">IFERROR((VLOOKUP($B62,$F$8:$G$34,2,0)*(-(VLOOKUP(I$52,$F$8:$G$34,2,0))))/SUMPRODUCT(($G$8:$G$34&gt;0)*($G$8:$G$34)),0)</f>
        <v>3.6372936924126194</v>
      </c>
      <c r="J62" s="133" cm="1">
        <f t="array" ref="J62">IFERROR((VLOOKUP($B62,$F$8:$G$34,2,0)*(-(VLOOKUP(J$52,$F$8:$G$34,2,0))))/SUMPRODUCT(($G$8:$G$34&gt;0)*($G$8:$G$34)),0)</f>
        <v>7.5712343696481339</v>
      </c>
      <c r="K62" s="133" cm="1">
        <f t="array" ref="K62">IFERROR((VLOOKUP($B62,$F$8:$G$34,2,0)*(-(VLOOKUP(K$52,$F$8:$G$34,2,0))))/SUMPRODUCT(($G$8:$G$34&gt;0)*($G$8:$G$34)),0)</f>
        <v>3.5074290925518192</v>
      </c>
      <c r="L62" s="133" cm="1">
        <f t="array" ref="L62">IFERROR((VLOOKUP($B62,$F$8:$G$34,2,0)*(-(VLOOKUP(L$52,$F$8:$G$34,2,0))))/SUMPRODUCT(($G$8:$G$34&gt;0)*($G$8:$G$34)),0)</f>
        <v>15.095385186405853</v>
      </c>
      <c r="M62" s="133" cm="1">
        <f t="array" ref="M62">IFERROR((VLOOKUP($B62,$F$8:$G$34,2,0)*(-(VLOOKUP(M$52,$F$8:$G$34,2,0))))/SUMPRODUCT(($G$8:$G$34&gt;0)*($G$8:$G$34)),0)</f>
        <v>3.2186560399836757</v>
      </c>
      <c r="N62" s="133" cm="1">
        <f t="array" ref="N62">IFERROR((VLOOKUP($B62,$F$8:$G$34,2,0)*(-(VLOOKUP(N$52,$F$8:$G$34,2,0))))/SUMPRODUCT(($G$8:$G$34&gt;0)*($G$8:$G$34)),0)</f>
        <v>21.607785318594598</v>
      </c>
      <c r="O62" s="133" cm="1">
        <f t="array" ref="O62">IFERROR((VLOOKUP($B62,$F$8:$G$34,2,0)*(-(VLOOKUP(O$52,$F$8:$G$34,2,0))))/SUMPRODUCT(($G$8:$G$34&gt;0)*($G$8:$G$34)),0)</f>
        <v>1.8692777985864681</v>
      </c>
      <c r="P62" s="133" cm="1">
        <f t="array" ref="P62">IFERROR((VLOOKUP($B62,$F$8:$G$34,2,0)*(-(VLOOKUP(P$52,$F$8:$G$34,2,0))))/SUMPRODUCT(($G$8:$G$34&gt;0)*($G$8:$G$34)),0)</f>
        <v>22.254186648463893</v>
      </c>
      <c r="Q62" s="133" cm="1">
        <f t="array" ref="Q62">IFERROR((VLOOKUP($B62,$F$8:$G$34,2,0)*(-(VLOOKUP(Q$52,$F$8:$G$34,2,0))))/SUMPRODUCT(($G$8:$G$34&gt;0)*($G$8:$G$34)),0)</f>
        <v>8.1913434598412724</v>
      </c>
      <c r="R62" s="134">
        <f t="shared" si="1"/>
        <v>240.60718527999992</v>
      </c>
    </row>
    <row r="63" spans="2:18" x14ac:dyDescent="0.2">
      <c r="B63" s="132" t="s">
        <v>26</v>
      </c>
      <c r="C63" s="133" cm="1">
        <f t="array" ref="C63">IFERROR((VLOOKUP($B63,$F$8:$G$34,2,0)*(-(VLOOKUP(C$52,$F$8:$G$34,2,0))))/SUMPRODUCT(($G$8:$G$34&gt;0)*($G$8:$G$34)),0)</f>
        <v>69720.803508995014</v>
      </c>
      <c r="D63" s="133" cm="1">
        <f t="array" ref="D63">IFERROR((VLOOKUP($B63,$F$8:$G$34,2,0)*(-(VLOOKUP(D$52,$F$8:$G$34,2,0))))/SUMPRODUCT(($G$8:$G$34&gt;0)*($G$8:$G$34)),0)</f>
        <v>12070.973532833019</v>
      </c>
      <c r="E63" s="133" cm="1">
        <f t="array" ref="E63">IFERROR((VLOOKUP($B63,$F$8:$G$34,2,0)*(-(VLOOKUP(E$52,$F$8:$G$34,2,0))))/SUMPRODUCT(($G$8:$G$34&gt;0)*($G$8:$G$34)),0)</f>
        <v>343450.73906473262</v>
      </c>
      <c r="F63" s="133" cm="1">
        <f t="array" ref="F63">IFERROR((VLOOKUP($B63,$F$8:$G$34,2,0)*(-(VLOOKUP(F$52,$F$8:$G$34,2,0))))/SUMPRODUCT(($G$8:$G$34&gt;0)*($G$8:$G$34)),0)</f>
        <v>55214.371086806263</v>
      </c>
      <c r="G63" s="133" cm="1">
        <f t="array" ref="G63">IFERROR((VLOOKUP($B63,$F$8:$G$34,2,0)*(-(VLOOKUP(G$52,$F$8:$G$34,2,0))))/SUMPRODUCT(($G$8:$G$34&gt;0)*($G$8:$G$34)),0)</f>
        <v>17684.313710650462</v>
      </c>
      <c r="H63" s="133" cm="1">
        <f t="array" ref="H63">IFERROR((VLOOKUP($B63,$F$8:$G$34,2,0)*(-(VLOOKUP(H$52,$F$8:$G$34,2,0))))/SUMPRODUCT(($G$8:$G$34&gt;0)*($G$8:$G$34)),0)</f>
        <v>36728.447505715987</v>
      </c>
      <c r="I63" s="133" cm="1">
        <f t="array" ref="I63">IFERROR((VLOOKUP($B63,$F$8:$G$34,2,0)*(-(VLOOKUP(I$52,$F$8:$G$34,2,0))))/SUMPRODUCT(($G$8:$G$34&gt;0)*($G$8:$G$34)),0)</f>
        <v>12661.372184924521</v>
      </c>
      <c r="J63" s="133" cm="1">
        <f t="array" ref="J63">IFERROR((VLOOKUP($B63,$F$8:$G$34,2,0)*(-(VLOOKUP(J$52,$F$8:$G$34,2,0))))/SUMPRODUCT(($G$8:$G$34&gt;0)*($G$8:$G$34)),0)</f>
        <v>26355.368677919967</v>
      </c>
      <c r="K63" s="133" cm="1">
        <f t="array" ref="K63">IFERROR((VLOOKUP($B63,$F$8:$G$34,2,0)*(-(VLOOKUP(K$52,$F$8:$G$34,2,0))))/SUMPRODUCT(($G$8:$G$34&gt;0)*($G$8:$G$34)),0)</f>
        <v>12209.315196533998</v>
      </c>
      <c r="L63" s="133" cm="1">
        <f t="array" ref="L63">IFERROR((VLOOKUP($B63,$F$8:$G$34,2,0)*(-(VLOOKUP(L$52,$F$8:$G$34,2,0))))/SUMPRODUCT(($G$8:$G$34&gt;0)*($G$8:$G$34)),0)</f>
        <v>52546.840118677683</v>
      </c>
      <c r="M63" s="133" cm="1">
        <f t="array" ref="M63">IFERROR((VLOOKUP($B63,$F$8:$G$34,2,0)*(-(VLOOKUP(M$52,$F$8:$G$34,2,0))))/SUMPRODUCT(($G$8:$G$34&gt;0)*($G$8:$G$34)),0)</f>
        <v>11204.099944554488</v>
      </c>
      <c r="N63" s="133" cm="1">
        <f t="array" ref="N63">IFERROR((VLOOKUP($B63,$F$8:$G$34,2,0)*(-(VLOOKUP(N$52,$F$8:$G$34,2,0))))/SUMPRODUCT(($G$8:$G$34&gt;0)*($G$8:$G$34)),0)</f>
        <v>75216.420544035151</v>
      </c>
      <c r="O63" s="133" cm="1">
        <f t="array" ref="O63">IFERROR((VLOOKUP($B63,$F$8:$G$34,2,0)*(-(VLOOKUP(O$52,$F$8:$G$34,2,0))))/SUMPRODUCT(($G$8:$G$34&gt;0)*($G$8:$G$34)),0)</f>
        <v>6506.9317812554464</v>
      </c>
      <c r="P63" s="133" cm="1">
        <f t="array" ref="P63">IFERROR((VLOOKUP($B63,$F$8:$G$34,2,0)*(-(VLOOKUP(P$52,$F$8:$G$34,2,0))))/SUMPRODUCT(($G$8:$G$34&gt;0)*($G$8:$G$34)),0)</f>
        <v>77466.535192565687</v>
      </c>
      <c r="Q63" s="133" cm="1">
        <f t="array" ref="Q63">IFERROR((VLOOKUP($B63,$F$8:$G$34,2,0)*(-(VLOOKUP(Q$52,$F$8:$G$34,2,0))))/SUMPRODUCT(($G$8:$G$34&gt;0)*($G$8:$G$34)),0)</f>
        <v>28513.960381022825</v>
      </c>
      <c r="R63" s="134">
        <f t="shared" si="1"/>
        <v>837550.49243122304</v>
      </c>
    </row>
    <row r="64" spans="2:18" x14ac:dyDescent="0.2">
      <c r="B64" s="132" t="s">
        <v>41</v>
      </c>
      <c r="C64" s="133" cm="1">
        <f t="array" ref="C64">IFERROR((VLOOKUP($B64,$F$8:$G$34,2,0)*(-(VLOOKUP(C$52,$F$8:$G$34,2,0))))/SUMPRODUCT(($G$8:$G$34&gt;0)*($G$8:$G$34)),0)</f>
        <v>206.3438584044263</v>
      </c>
      <c r="D64" s="133" cm="1">
        <f t="array" ref="D64">IFERROR((VLOOKUP($B64,$F$8:$G$34,2,0)*(-(VLOOKUP(D$52,$F$8:$G$34,2,0))))/SUMPRODUCT(($G$8:$G$34&gt;0)*($G$8:$G$34)),0)</f>
        <v>35.724936146800538</v>
      </c>
      <c r="E64" s="133" cm="1">
        <f t="array" ref="E64">IFERROR((VLOOKUP($B64,$F$8:$G$34,2,0)*(-(VLOOKUP(E$52,$F$8:$G$34,2,0))))/SUMPRODUCT(($G$8:$G$34&gt;0)*($G$8:$G$34)),0)</f>
        <v>1016.4677844156747</v>
      </c>
      <c r="F64" s="133" cm="1">
        <f t="array" ref="F64">IFERROR((VLOOKUP($B64,$F$8:$G$34,2,0)*(-(VLOOKUP(F$52,$F$8:$G$34,2,0))))/SUMPRODUCT(($G$8:$G$34&gt;0)*($G$8:$G$34)),0)</f>
        <v>163.41100211152209</v>
      </c>
      <c r="G64" s="133" cm="1">
        <f t="array" ref="G64">IFERROR((VLOOKUP($B64,$F$8:$G$34,2,0)*(-(VLOOKUP(G$52,$F$8:$G$34,2,0))))/SUMPRODUCT(($G$8:$G$34&gt;0)*($G$8:$G$34)),0)</f>
        <v>52.338030266950845</v>
      </c>
      <c r="H64" s="133" cm="1">
        <f t="array" ref="H64">IFERROR((VLOOKUP($B64,$F$8:$G$34,2,0)*(-(VLOOKUP(H$52,$F$8:$G$34,2,0))))/SUMPRODUCT(($G$8:$G$34&gt;0)*($G$8:$G$34)),0)</f>
        <v>108.70054833140443</v>
      </c>
      <c r="I64" s="133" cm="1">
        <f t="array" ref="I64">IFERROR((VLOOKUP($B64,$F$8:$G$34,2,0)*(-(VLOOKUP(I$52,$F$8:$G$34,2,0))))/SUMPRODUCT(($G$8:$G$34&gt;0)*($G$8:$G$34)),0)</f>
        <v>37.472264486951062</v>
      </c>
      <c r="J64" s="133" cm="1">
        <f t="array" ref="J64">IFERROR((VLOOKUP($B64,$F$8:$G$34,2,0)*(-(VLOOKUP(J$52,$F$8:$G$34,2,0))))/SUMPRODUCT(($G$8:$G$34&gt;0)*($G$8:$G$34)),0)</f>
        <v>78.000656747616972</v>
      </c>
      <c r="K64" s="133" cm="1">
        <f t="array" ref="K64">IFERROR((VLOOKUP($B64,$F$8:$G$34,2,0)*(-(VLOOKUP(K$52,$F$8:$G$34,2,0))))/SUMPRODUCT(($G$8:$G$34&gt;0)*($G$8:$G$34)),0)</f>
        <v>36.134368500265388</v>
      </c>
      <c r="L64" s="133" cm="1">
        <f t="array" ref="L64">IFERROR((VLOOKUP($B64,$F$8:$G$34,2,0)*(-(VLOOKUP(L$52,$F$8:$G$34,2,0))))/SUMPRODUCT(($G$8:$G$34&gt;0)*($G$8:$G$34)),0)</f>
        <v>155.51624753793297</v>
      </c>
      <c r="M64" s="133" cm="1">
        <f t="array" ref="M64">IFERROR((VLOOKUP($B64,$F$8:$G$34,2,0)*(-(VLOOKUP(M$52,$F$8:$G$34,2,0))))/SUMPRODUCT(($G$8:$G$34&gt;0)*($G$8:$G$34)),0)</f>
        <v>33.159359848885316</v>
      </c>
      <c r="N64" s="133" cm="1">
        <f t="array" ref="N64">IFERROR((VLOOKUP($B64,$F$8:$G$34,2,0)*(-(VLOOKUP(N$52,$F$8:$G$34,2,0))))/SUMPRODUCT(($G$8:$G$34&gt;0)*($G$8:$G$34)),0)</f>
        <v>222.60854220396078</v>
      </c>
      <c r="O64" s="133" cm="1">
        <f t="array" ref="O64">IFERROR((VLOOKUP($B64,$F$8:$G$34,2,0)*(-(VLOOKUP(O$52,$F$8:$G$34,2,0))))/SUMPRODUCT(($G$8:$G$34&gt;0)*($G$8:$G$34)),0)</f>
        <v>19.257744353812726</v>
      </c>
      <c r="P64" s="133" cm="1">
        <f t="array" ref="P64">IFERROR((VLOOKUP($B64,$F$8:$G$34,2,0)*(-(VLOOKUP(P$52,$F$8:$G$34,2,0))))/SUMPRODUCT(($G$8:$G$34&gt;0)*($G$8:$G$34)),0)</f>
        <v>229.26792240416469</v>
      </c>
      <c r="Q64" s="133" cm="1">
        <f t="array" ref="Q64">IFERROR((VLOOKUP($B64,$F$8:$G$34,2,0)*(-(VLOOKUP(Q$52,$F$8:$G$34,2,0))))/SUMPRODUCT(($G$8:$G$34&gt;0)*($G$8:$G$34)),0)</f>
        <v>84.389168042966034</v>
      </c>
      <c r="R64" s="134">
        <f t="shared" si="1"/>
        <v>2478.7924338033349</v>
      </c>
    </row>
    <row r="65" spans="2:22" x14ac:dyDescent="0.2">
      <c r="B65" s="136" t="s">
        <v>52</v>
      </c>
      <c r="C65" s="137">
        <f t="shared" ref="C65:R65" si="2">SUM(C53:C64)</f>
        <v>1656522.08607224</v>
      </c>
      <c r="D65" s="137">
        <f t="shared" si="2"/>
        <v>286798.67774259939</v>
      </c>
      <c r="E65" s="137">
        <f t="shared" si="2"/>
        <v>8160171.8010200886</v>
      </c>
      <c r="F65" s="137">
        <f t="shared" si="2"/>
        <v>1311858.4492802483</v>
      </c>
      <c r="G65" s="137">
        <f t="shared" si="2"/>
        <v>420168.08132372133</v>
      </c>
      <c r="H65" s="137">
        <f t="shared" si="2"/>
        <v>872644.6256821173</v>
      </c>
      <c r="I65" s="137">
        <f t="shared" si="2"/>
        <v>300826.17538396944</v>
      </c>
      <c r="J65" s="137">
        <f t="shared" si="2"/>
        <v>626186.84960964904</v>
      </c>
      <c r="K65" s="137">
        <f t="shared" si="2"/>
        <v>290085.58795893227</v>
      </c>
      <c r="L65" s="137">
        <f t="shared" si="2"/>
        <v>1248479.6047806067</v>
      </c>
      <c r="M65" s="137">
        <f t="shared" si="2"/>
        <v>266202.31091170333</v>
      </c>
      <c r="N65" s="137">
        <f t="shared" si="2"/>
        <v>1787094.4624213497</v>
      </c>
      <c r="O65" s="137">
        <f t="shared" si="2"/>
        <v>154600.57351209951</v>
      </c>
      <c r="P65" s="137">
        <f t="shared" si="2"/>
        <v>1840555.7598231311</v>
      </c>
      <c r="Q65" s="137">
        <f t="shared" si="2"/>
        <v>677473.61985665094</v>
      </c>
      <c r="R65" s="138">
        <f t="shared" si="2"/>
        <v>19899668.665379111</v>
      </c>
    </row>
    <row r="66" spans="2:22" x14ac:dyDescent="0.2"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61"/>
    </row>
    <row r="67" spans="2:22" x14ac:dyDescent="0.2">
      <c r="B67" s="123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40">
        <f>-SUMPRODUCT(($G$8:$G$34&lt;0)*($G$8:$G$34))</f>
        <v>19899668.665379114</v>
      </c>
    </row>
    <row r="68" spans="2:22" x14ac:dyDescent="0.2">
      <c r="R68" s="141">
        <f>R65-R67</f>
        <v>0</v>
      </c>
    </row>
    <row r="69" spans="2:22" x14ac:dyDescent="0.2">
      <c r="R69" s="141">
        <f>R65-J6</f>
        <v>0</v>
      </c>
    </row>
  </sheetData>
  <mergeCells count="7">
    <mergeCell ref="B51:B52"/>
    <mergeCell ref="B6:B7"/>
    <mergeCell ref="C6:C7"/>
    <mergeCell ref="F6:F7"/>
    <mergeCell ref="G6:G7"/>
    <mergeCell ref="I6:I7"/>
    <mergeCell ref="J6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2A2C44-0CFE-451A-A82E-421A89AE2D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Pagos</vt:lpstr>
      <vt:lpstr>MFETR</vt:lpstr>
      <vt:lpstr>EMPRESAS</vt:lpstr>
      <vt:lpstr>CPETR</vt:lpstr>
      <vt:lpstr>Entrada CUSSR</vt:lpstr>
      <vt:lpstr>Reliquidación CUSSR</vt:lpstr>
      <vt:lpstr>CUADRO DE PAGO CUSSR</vt:lpstr>
      <vt:lpstr>Pagos!Área_de_impresión</vt:lpstr>
      <vt:lpstr>CPETR</vt:lpstr>
      <vt:lpstr>'Entrada CUSSR'!DirectorioEntrada</vt:lpstr>
      <vt:lpstr>DirectorioEntrada</vt:lpstr>
      <vt:lpstr>FechaFacturacion</vt:lpstr>
      <vt:lpstr>'Entrada CUSSR'!FechaFacturacion_cussr</vt:lpstr>
      <vt:lpstr>'Entrada CUSSR'!Responsable</vt:lpstr>
      <vt:lpstr>'Entrada CUSSR'!version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Osvaldo  Sanhueza Ramirez</dc:creator>
  <cp:lastModifiedBy>Rubén Osvaldo  Sanhueza Ramirez</cp:lastModifiedBy>
  <dcterms:created xsi:type="dcterms:W3CDTF">2024-12-16T17:24:19Z</dcterms:created>
  <dcterms:modified xsi:type="dcterms:W3CDTF">2024-12-16T17:24:45Z</dcterms:modified>
</cp:coreProperties>
</file>