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as.nanco\Documents LOCAL\02 Cargos Tarifarios\2025\05\pre\"/>
    </mc:Choice>
  </mc:AlternateContent>
  <xr:revisionPtr revIDLastSave="0" documentId="13_ncr:1_{9312ADA1-3F5D-42BC-BB1C-C5378D195780}" xr6:coauthVersionLast="47" xr6:coauthVersionMax="47" xr10:uidLastSave="{00000000-0000-0000-0000-000000000000}"/>
  <bookViews>
    <workbookView xWindow="-110" yWindow="-110" windowWidth="19420" windowHeight="11500" tabRatio="754" firstSheet="7" activeTab="10" xr2:uid="{53FE13A5-1646-4B33-B652-71A153D6091D}"/>
  </bookViews>
  <sheets>
    <sheet name="Entrada AR" sheetId="1" r:id="rId1"/>
    <sheet name="Entrada TD" sheetId="2" r:id="rId2"/>
    <sheet name="Entrada CDRGL" sheetId="3" r:id="rId3"/>
    <sheet name="Entrada 7TRAN" sheetId="4" r:id="rId4"/>
    <sheet name="Reliquidación TD" sheetId="5" r:id="rId5"/>
    <sheet name="Reliquidación AR" sheetId="6" r:id="rId6"/>
    <sheet name="CUADRO DE PAGO AR" sheetId="7" r:id="rId7"/>
    <sheet name="Reliquidación CD RGL" sheetId="8" r:id="rId8"/>
    <sheet name="CUADRO DE PAGO CD RGL" sheetId="9" r:id="rId9"/>
    <sheet name="Reliquidación 7TRAN" sheetId="10" r:id="rId10"/>
    <sheet name="CUADRO DE PAGO 7TRAN" sheetId="11" r:id="rId11"/>
  </sheets>
  <definedNames>
    <definedName name="_xlnm._FilterDatabase" localSheetId="10" hidden="1">'CUADRO DE PAGO 7TRAN'!$E$6:$G$33</definedName>
    <definedName name="_xlnm._FilterDatabase" localSheetId="6" hidden="1">'CUADRO DE PAGO AR'!$E$6:$G$33</definedName>
    <definedName name="_xlnm._FilterDatabase" localSheetId="8" hidden="1">'CUADRO DE PAGO CD RGL'!$E$6:$G$33</definedName>
    <definedName name="_xlnm._FilterDatabase" localSheetId="3" hidden="1">'Entrada 7TRAN'!$F$7:$J$44</definedName>
    <definedName name="_xlnm._FilterDatabase" localSheetId="0" hidden="1">'Entrada AR'!$F$6:$J$44</definedName>
    <definedName name="_xlnm._FilterDatabase" localSheetId="2" hidden="1">'Entrada CDRGL'!$F$7:$J$44</definedName>
    <definedName name="_xlnm._FilterDatabase" localSheetId="9" hidden="1">'Reliquidación 7TRAN'!$O$8:$O$44</definedName>
    <definedName name="_xlnm._FilterDatabase" localSheetId="7" hidden="1">'Reliquidación CD RGL'!$O$8:$O$44</definedName>
    <definedName name="_xlnm._FilterDatabase" localSheetId="4" hidden="1">'Reliquidación TD'!$O$8:$O$43</definedName>
    <definedName name="DirectorioEntrada" localSheetId="3">'Entrada 7TRAN'!$G$3</definedName>
    <definedName name="DirectorioEntrada" localSheetId="0">'Entrada AR'!$G$3</definedName>
    <definedName name="DirectorioEntrada" localSheetId="2">'Entrada CDRGL'!$G$3</definedName>
    <definedName name="DirectorioEntrada" localSheetId="1">'Entrada TD'!$G$3</definedName>
    <definedName name="FechaFacturacion" localSheetId="3">'Entrada 7TRAN'!$B$3</definedName>
    <definedName name="FechaFacturacion" localSheetId="0">'Entrada AR'!$B$3</definedName>
    <definedName name="FechaFacturacion" localSheetId="2">'Entrada CDRGL'!$B$3</definedName>
    <definedName name="FechaFacturacion" localSheetId="1">'Entrada TD'!$B$3</definedName>
    <definedName name="FechaFacturacion">'Entrada AR'!$B$3</definedName>
    <definedName name="Responsable" localSheetId="3">'Entrada 7TRAN'!$G$4</definedName>
    <definedName name="Responsable" localSheetId="0">'Entrada AR'!$G$4</definedName>
    <definedName name="Responsable" localSheetId="2">'Entrada CDRGL'!$G$4</definedName>
    <definedName name="Responsable" localSheetId="1">'Entrada TD'!$G$4</definedName>
    <definedName name="version" localSheetId="3">'Entrada 7TRAN'!$G$2</definedName>
    <definedName name="version" localSheetId="0">'Entrada AR'!$G$2</definedName>
    <definedName name="version" localSheetId="2">'Entrada CDRGL'!$G$2</definedName>
    <definedName name="version" localSheetId="1">'Entrada TD'!$G$2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1" l="1"/>
  <c r="G32" i="11" s="1"/>
  <c r="C41" i="11"/>
  <c r="G31" i="11" s="1"/>
  <c r="C40" i="11"/>
  <c r="C39" i="11"/>
  <c r="C38" i="11"/>
  <c r="C37" i="11"/>
  <c r="C36" i="11"/>
  <c r="C35" i="11"/>
  <c r="C34" i="11"/>
  <c r="F33" i="11"/>
  <c r="C33" i="11"/>
  <c r="C32" i="11"/>
  <c r="G25" i="11" s="1"/>
  <c r="C31" i="11"/>
  <c r="G24" i="11" s="1"/>
  <c r="G30" i="11"/>
  <c r="C30" i="11"/>
  <c r="G23" i="11" s="1"/>
  <c r="G29" i="11"/>
  <c r="C29" i="11"/>
  <c r="G22" i="11" s="1"/>
  <c r="G28" i="11"/>
  <c r="C28" i="11"/>
  <c r="G27" i="11"/>
  <c r="C27" i="11"/>
  <c r="G26" i="11"/>
  <c r="C26" i="11"/>
  <c r="C25" i="11"/>
  <c r="G18" i="11" s="1"/>
  <c r="C24" i="11"/>
  <c r="G17" i="11" s="1"/>
  <c r="C23" i="11"/>
  <c r="G16" i="11" s="1"/>
  <c r="C22" i="11"/>
  <c r="G15" i="11" s="1"/>
  <c r="G21" i="11"/>
  <c r="C21" i="11"/>
  <c r="G20" i="11"/>
  <c r="C20" i="11"/>
  <c r="G19" i="11"/>
  <c r="C19" i="11"/>
  <c r="C18" i="11"/>
  <c r="C17" i="11"/>
  <c r="G13" i="11" s="1"/>
  <c r="C16" i="11"/>
  <c r="C15" i="11"/>
  <c r="G12" i="11" s="1"/>
  <c r="G14" i="11"/>
  <c r="C14" i="11"/>
  <c r="C13" i="11"/>
  <c r="C12" i="11"/>
  <c r="C11" i="11"/>
  <c r="G11" i="11" s="1"/>
  <c r="C10" i="11"/>
  <c r="G10" i="11" s="1"/>
  <c r="C9" i="11"/>
  <c r="G9" i="11" s="1"/>
  <c r="C8" i="11"/>
  <c r="C43" i="11" s="1"/>
  <c r="B3" i="11"/>
  <c r="J44" i="10"/>
  <c r="H44" i="10"/>
  <c r="G43" i="10"/>
  <c r="F43" i="10"/>
  <c r="E43" i="10"/>
  <c r="D43" i="10"/>
  <c r="C43" i="10"/>
  <c r="G42" i="10"/>
  <c r="F42" i="10"/>
  <c r="E42" i="10"/>
  <c r="D42" i="10"/>
  <c r="C42" i="10"/>
  <c r="G41" i="10"/>
  <c r="F41" i="10"/>
  <c r="E41" i="10"/>
  <c r="D41" i="10"/>
  <c r="C41" i="10"/>
  <c r="G40" i="10"/>
  <c r="F40" i="10"/>
  <c r="E40" i="10"/>
  <c r="D40" i="10"/>
  <c r="C40" i="10"/>
  <c r="G39" i="10"/>
  <c r="F39" i="10"/>
  <c r="E39" i="10"/>
  <c r="D39" i="10"/>
  <c r="C39" i="10"/>
  <c r="K38" i="10"/>
  <c r="I38" i="10"/>
  <c r="L38" i="10" s="1"/>
  <c r="G38" i="10"/>
  <c r="F38" i="10"/>
  <c r="E38" i="10"/>
  <c r="D38" i="10"/>
  <c r="C38" i="10"/>
  <c r="K37" i="10"/>
  <c r="I37" i="10"/>
  <c r="G37" i="10"/>
  <c r="L37" i="10" s="1"/>
  <c r="F37" i="10"/>
  <c r="E37" i="10"/>
  <c r="D37" i="10"/>
  <c r="C37" i="10"/>
  <c r="G36" i="10"/>
  <c r="F36" i="10"/>
  <c r="E36" i="10"/>
  <c r="D36" i="10"/>
  <c r="C36" i="10"/>
  <c r="K35" i="10"/>
  <c r="G35" i="10"/>
  <c r="F35" i="10"/>
  <c r="E35" i="10"/>
  <c r="D35" i="10"/>
  <c r="C35" i="10"/>
  <c r="G34" i="10"/>
  <c r="F34" i="10"/>
  <c r="E34" i="10"/>
  <c r="D34" i="10"/>
  <c r="C34" i="10"/>
  <c r="G33" i="10"/>
  <c r="F33" i="10"/>
  <c r="E33" i="10"/>
  <c r="D33" i="10"/>
  <c r="C33" i="10"/>
  <c r="G32" i="10"/>
  <c r="F32" i="10"/>
  <c r="E32" i="10"/>
  <c r="D32" i="10"/>
  <c r="C32" i="10"/>
  <c r="K31" i="10"/>
  <c r="I31" i="10"/>
  <c r="L31" i="10" s="1"/>
  <c r="G31" i="10"/>
  <c r="F31" i="10"/>
  <c r="E31" i="10"/>
  <c r="D31" i="10"/>
  <c r="C31" i="10"/>
  <c r="K30" i="10"/>
  <c r="I30" i="10"/>
  <c r="G30" i="10"/>
  <c r="L30" i="10" s="1"/>
  <c r="F30" i="10"/>
  <c r="E30" i="10"/>
  <c r="D30" i="10"/>
  <c r="C30" i="10"/>
  <c r="G29" i="10"/>
  <c r="F29" i="10"/>
  <c r="E29" i="10"/>
  <c r="D29" i="10"/>
  <c r="C29" i="10"/>
  <c r="K28" i="10"/>
  <c r="G28" i="10"/>
  <c r="F28" i="10"/>
  <c r="E28" i="10"/>
  <c r="D28" i="10"/>
  <c r="C28" i="10"/>
  <c r="G27" i="10"/>
  <c r="F27" i="10"/>
  <c r="E27" i="10"/>
  <c r="D27" i="10"/>
  <c r="C27" i="10"/>
  <c r="G26" i="10"/>
  <c r="F26" i="10"/>
  <c r="E26" i="10"/>
  <c r="D26" i="10"/>
  <c r="C26" i="10"/>
  <c r="G25" i="10"/>
  <c r="F25" i="10"/>
  <c r="E25" i="10"/>
  <c r="D25" i="10"/>
  <c r="C25" i="10"/>
  <c r="K24" i="10"/>
  <c r="I24" i="10"/>
  <c r="L24" i="10" s="1"/>
  <c r="G24" i="10"/>
  <c r="F24" i="10"/>
  <c r="E24" i="10"/>
  <c r="D24" i="10"/>
  <c r="C24" i="10"/>
  <c r="K23" i="10"/>
  <c r="I23" i="10"/>
  <c r="G23" i="10"/>
  <c r="L23" i="10" s="1"/>
  <c r="F23" i="10"/>
  <c r="E23" i="10"/>
  <c r="D23" i="10"/>
  <c r="C23" i="10"/>
  <c r="I22" i="10"/>
  <c r="G22" i="10"/>
  <c r="F22" i="10"/>
  <c r="E22" i="10"/>
  <c r="D22" i="10"/>
  <c r="C22" i="10"/>
  <c r="K21" i="10"/>
  <c r="G21" i="10"/>
  <c r="F21" i="10"/>
  <c r="E21" i="10"/>
  <c r="D21" i="10"/>
  <c r="C21" i="10"/>
  <c r="G20" i="10"/>
  <c r="F20" i="10"/>
  <c r="E20" i="10"/>
  <c r="D20" i="10"/>
  <c r="C20" i="10"/>
  <c r="G19" i="10"/>
  <c r="F19" i="10"/>
  <c r="E19" i="10"/>
  <c r="D19" i="10"/>
  <c r="C19" i="10"/>
  <c r="G18" i="10"/>
  <c r="F18" i="10"/>
  <c r="E18" i="10"/>
  <c r="D18" i="10"/>
  <c r="C18" i="10"/>
  <c r="K17" i="10"/>
  <c r="I17" i="10"/>
  <c r="L17" i="10" s="1"/>
  <c r="G17" i="10"/>
  <c r="F17" i="10"/>
  <c r="E17" i="10"/>
  <c r="D17" i="10"/>
  <c r="C17" i="10"/>
  <c r="K16" i="10"/>
  <c r="I16" i="10"/>
  <c r="G16" i="10"/>
  <c r="L16" i="10" s="1"/>
  <c r="F16" i="10"/>
  <c r="E16" i="10"/>
  <c r="D16" i="10"/>
  <c r="C16" i="10"/>
  <c r="I15" i="10"/>
  <c r="G15" i="10"/>
  <c r="F15" i="10"/>
  <c r="E15" i="10"/>
  <c r="D15" i="10"/>
  <c r="C15" i="10"/>
  <c r="K14" i="10"/>
  <c r="G14" i="10"/>
  <c r="F14" i="10"/>
  <c r="E14" i="10"/>
  <c r="D14" i="10"/>
  <c r="C14" i="10"/>
  <c r="G13" i="10"/>
  <c r="F13" i="10"/>
  <c r="E13" i="10"/>
  <c r="D13" i="10"/>
  <c r="C13" i="10"/>
  <c r="G12" i="10"/>
  <c r="F12" i="10"/>
  <c r="E12" i="10"/>
  <c r="D12" i="10"/>
  <c r="C12" i="10"/>
  <c r="G11" i="10"/>
  <c r="F11" i="10"/>
  <c r="E11" i="10"/>
  <c r="D11" i="10"/>
  <c r="C11" i="10"/>
  <c r="K10" i="10"/>
  <c r="I10" i="10"/>
  <c r="L10" i="10" s="1"/>
  <c r="G10" i="10"/>
  <c r="F10" i="10"/>
  <c r="E10" i="10"/>
  <c r="D10" i="10"/>
  <c r="C10" i="10"/>
  <c r="K9" i="10"/>
  <c r="I9" i="10"/>
  <c r="G9" i="10"/>
  <c r="G44" i="10" s="1"/>
  <c r="F9" i="10"/>
  <c r="F44" i="10" s="1"/>
  <c r="E9" i="10"/>
  <c r="E44" i="10" s="1"/>
  <c r="D9" i="10"/>
  <c r="D44" i="10" s="1"/>
  <c r="C9" i="10"/>
  <c r="C44" i="10" s="1"/>
  <c r="I4" i="10"/>
  <c r="K39" i="10" s="1"/>
  <c r="B3" i="10"/>
  <c r="H6" i="10" s="1"/>
  <c r="C42" i="9"/>
  <c r="G32" i="9" s="1"/>
  <c r="C41" i="9"/>
  <c r="G31" i="9" s="1"/>
  <c r="C40" i="9"/>
  <c r="C39" i="9"/>
  <c r="C38" i="9"/>
  <c r="C37" i="9"/>
  <c r="C36" i="9"/>
  <c r="C35" i="9"/>
  <c r="C34" i="9"/>
  <c r="G27" i="9" s="1"/>
  <c r="F33" i="9"/>
  <c r="C33" i="9"/>
  <c r="C32" i="9"/>
  <c r="C31" i="9"/>
  <c r="G24" i="9" s="1"/>
  <c r="G30" i="9"/>
  <c r="C30" i="9"/>
  <c r="G23" i="9" s="1"/>
  <c r="G29" i="9"/>
  <c r="C29" i="9"/>
  <c r="G22" i="9" s="1"/>
  <c r="G28" i="9"/>
  <c r="C28" i="9"/>
  <c r="C27" i="9"/>
  <c r="G20" i="9" s="1"/>
  <c r="G26" i="9"/>
  <c r="C26" i="9"/>
  <c r="G25" i="9"/>
  <c r="C25" i="9"/>
  <c r="C24" i="9"/>
  <c r="G17" i="9" s="1"/>
  <c r="C23" i="9"/>
  <c r="G16" i="9" s="1"/>
  <c r="C22" i="9"/>
  <c r="G15" i="9" s="1"/>
  <c r="G21" i="9"/>
  <c r="C21" i="9"/>
  <c r="C20" i="9"/>
  <c r="G19" i="9"/>
  <c r="C19" i="9"/>
  <c r="G18" i="9"/>
  <c r="C18" i="9"/>
  <c r="C17" i="9"/>
  <c r="G13" i="9" s="1"/>
  <c r="C16" i="9"/>
  <c r="C15" i="9"/>
  <c r="G14" i="9"/>
  <c r="C14" i="9"/>
  <c r="C13" i="9"/>
  <c r="C12" i="9"/>
  <c r="G11" i="9"/>
  <c r="C11" i="9"/>
  <c r="C10" i="9"/>
  <c r="G10" i="9" s="1"/>
  <c r="C9" i="9"/>
  <c r="G9" i="9" s="1"/>
  <c r="C8" i="9"/>
  <c r="B3" i="9"/>
  <c r="J44" i="8"/>
  <c r="H44" i="8"/>
  <c r="K43" i="8"/>
  <c r="I43" i="8"/>
  <c r="G43" i="8"/>
  <c r="L43" i="8" s="1"/>
  <c r="F43" i="8"/>
  <c r="E43" i="8"/>
  <c r="D43" i="8"/>
  <c r="C43" i="8"/>
  <c r="I42" i="8"/>
  <c r="G42" i="8"/>
  <c r="F42" i="8"/>
  <c r="E42" i="8"/>
  <c r="D42" i="8"/>
  <c r="C42" i="8"/>
  <c r="G41" i="8"/>
  <c r="F41" i="8"/>
  <c r="E41" i="8"/>
  <c r="D41" i="8"/>
  <c r="C41" i="8"/>
  <c r="G40" i="8"/>
  <c r="F40" i="8"/>
  <c r="E40" i="8"/>
  <c r="D40" i="8"/>
  <c r="C40" i="8"/>
  <c r="G39" i="8"/>
  <c r="F39" i="8"/>
  <c r="E39" i="8"/>
  <c r="D39" i="8"/>
  <c r="C39" i="8"/>
  <c r="K38" i="8"/>
  <c r="I38" i="8"/>
  <c r="L38" i="8" s="1"/>
  <c r="G38" i="8"/>
  <c r="F38" i="8"/>
  <c r="E38" i="8"/>
  <c r="D38" i="8"/>
  <c r="C38" i="8"/>
  <c r="K37" i="8"/>
  <c r="I37" i="8"/>
  <c r="G37" i="8"/>
  <c r="L37" i="8" s="1"/>
  <c r="F37" i="8"/>
  <c r="E37" i="8"/>
  <c r="D37" i="8"/>
  <c r="C37" i="8"/>
  <c r="K36" i="8"/>
  <c r="I36" i="8"/>
  <c r="G36" i="8"/>
  <c r="L36" i="8" s="1"/>
  <c r="F36" i="8"/>
  <c r="E36" i="8"/>
  <c r="D36" i="8"/>
  <c r="C36" i="8"/>
  <c r="K35" i="8"/>
  <c r="I35" i="8"/>
  <c r="G35" i="8"/>
  <c r="L35" i="8" s="1"/>
  <c r="F35" i="8"/>
  <c r="E35" i="8"/>
  <c r="D35" i="8"/>
  <c r="C35" i="8"/>
  <c r="G34" i="8"/>
  <c r="F34" i="8"/>
  <c r="E34" i="8"/>
  <c r="D34" i="8"/>
  <c r="C34" i="8"/>
  <c r="G33" i="8"/>
  <c r="F33" i="8"/>
  <c r="E33" i="8"/>
  <c r="D33" i="8"/>
  <c r="C33" i="8"/>
  <c r="G32" i="8"/>
  <c r="F32" i="8"/>
  <c r="E32" i="8"/>
  <c r="D32" i="8"/>
  <c r="C32" i="8"/>
  <c r="K31" i="8"/>
  <c r="I31" i="8"/>
  <c r="L31" i="8" s="1"/>
  <c r="G31" i="8"/>
  <c r="F31" i="8"/>
  <c r="E31" i="8"/>
  <c r="D31" i="8"/>
  <c r="C31" i="8"/>
  <c r="K30" i="8"/>
  <c r="I30" i="8"/>
  <c r="G30" i="8"/>
  <c r="L30" i="8" s="1"/>
  <c r="F30" i="8"/>
  <c r="E30" i="8"/>
  <c r="D30" i="8"/>
  <c r="C30" i="8"/>
  <c r="K29" i="8"/>
  <c r="I29" i="8"/>
  <c r="G29" i="8"/>
  <c r="L29" i="8" s="1"/>
  <c r="F29" i="8"/>
  <c r="E29" i="8"/>
  <c r="D29" i="8"/>
  <c r="C29" i="8"/>
  <c r="K28" i="8"/>
  <c r="I28" i="8"/>
  <c r="G28" i="8"/>
  <c r="L28" i="8" s="1"/>
  <c r="F28" i="8"/>
  <c r="E28" i="8"/>
  <c r="D28" i="8"/>
  <c r="C28" i="8"/>
  <c r="G27" i="8"/>
  <c r="F27" i="8"/>
  <c r="E27" i="8"/>
  <c r="D27" i="8"/>
  <c r="C27" i="8"/>
  <c r="G26" i="8"/>
  <c r="F26" i="8"/>
  <c r="E26" i="8"/>
  <c r="D26" i="8"/>
  <c r="C26" i="8"/>
  <c r="G25" i="8"/>
  <c r="F25" i="8"/>
  <c r="E25" i="8"/>
  <c r="D25" i="8"/>
  <c r="C25" i="8"/>
  <c r="K24" i="8"/>
  <c r="I24" i="8"/>
  <c r="L24" i="8" s="1"/>
  <c r="G24" i="8"/>
  <c r="F24" i="8"/>
  <c r="E24" i="8"/>
  <c r="D24" i="8"/>
  <c r="C24" i="8"/>
  <c r="K23" i="8"/>
  <c r="I23" i="8"/>
  <c r="G23" i="8"/>
  <c r="L23" i="8" s="1"/>
  <c r="F23" i="8"/>
  <c r="E23" i="8"/>
  <c r="D23" i="8"/>
  <c r="C23" i="8"/>
  <c r="K22" i="8"/>
  <c r="I22" i="8"/>
  <c r="G22" i="8"/>
  <c r="L22" i="8" s="1"/>
  <c r="F22" i="8"/>
  <c r="E22" i="8"/>
  <c r="D22" i="8"/>
  <c r="C22" i="8"/>
  <c r="K21" i="8"/>
  <c r="I21" i="8"/>
  <c r="G21" i="8"/>
  <c r="L21" i="8" s="1"/>
  <c r="F21" i="8"/>
  <c r="E21" i="8"/>
  <c r="D21" i="8"/>
  <c r="C21" i="8"/>
  <c r="G20" i="8"/>
  <c r="F20" i="8"/>
  <c r="E20" i="8"/>
  <c r="D20" i="8"/>
  <c r="C20" i="8"/>
  <c r="G19" i="8"/>
  <c r="F19" i="8"/>
  <c r="E19" i="8"/>
  <c r="D19" i="8"/>
  <c r="C19" i="8"/>
  <c r="G18" i="8"/>
  <c r="F18" i="8"/>
  <c r="E18" i="8"/>
  <c r="D18" i="8"/>
  <c r="C18" i="8"/>
  <c r="K17" i="8"/>
  <c r="I17" i="8"/>
  <c r="L17" i="8" s="1"/>
  <c r="G17" i="8"/>
  <c r="F17" i="8"/>
  <c r="E17" i="8"/>
  <c r="D17" i="8"/>
  <c r="C17" i="8"/>
  <c r="K16" i="8"/>
  <c r="I16" i="8"/>
  <c r="G16" i="8"/>
  <c r="L16" i="8" s="1"/>
  <c r="F16" i="8"/>
  <c r="E16" i="8"/>
  <c r="D16" i="8"/>
  <c r="C16" i="8"/>
  <c r="K15" i="8"/>
  <c r="I15" i="8"/>
  <c r="G15" i="8"/>
  <c r="L15" i="8" s="1"/>
  <c r="F15" i="8"/>
  <c r="E15" i="8"/>
  <c r="D15" i="8"/>
  <c r="C15" i="8"/>
  <c r="K14" i="8"/>
  <c r="I14" i="8"/>
  <c r="G14" i="8"/>
  <c r="L14" i="8" s="1"/>
  <c r="F14" i="8"/>
  <c r="E14" i="8"/>
  <c r="D14" i="8"/>
  <c r="C14" i="8"/>
  <c r="G13" i="8"/>
  <c r="F13" i="8"/>
  <c r="E13" i="8"/>
  <c r="D13" i="8"/>
  <c r="C13" i="8"/>
  <c r="G12" i="8"/>
  <c r="F12" i="8"/>
  <c r="E12" i="8"/>
  <c r="D12" i="8"/>
  <c r="C12" i="8"/>
  <c r="G11" i="8"/>
  <c r="F11" i="8"/>
  <c r="E11" i="8"/>
  <c r="D11" i="8"/>
  <c r="C11" i="8"/>
  <c r="K10" i="8"/>
  <c r="I10" i="8"/>
  <c r="L10" i="8" s="1"/>
  <c r="G10" i="8"/>
  <c r="F10" i="8"/>
  <c r="E10" i="8"/>
  <c r="D10" i="8"/>
  <c r="C10" i="8"/>
  <c r="K9" i="8"/>
  <c r="I9" i="8"/>
  <c r="G9" i="8"/>
  <c r="L9" i="8" s="1"/>
  <c r="F9" i="8"/>
  <c r="F44" i="8" s="1"/>
  <c r="E9" i="8"/>
  <c r="E44" i="8" s="1"/>
  <c r="D9" i="8"/>
  <c r="D44" i="8" s="1"/>
  <c r="C9" i="8"/>
  <c r="C44" i="8" s="1"/>
  <c r="I4" i="8"/>
  <c r="K39" i="8" s="1"/>
  <c r="B3" i="8"/>
  <c r="H6" i="8" s="1"/>
  <c r="F33" i="7"/>
  <c r="B3" i="7"/>
  <c r="R44" i="6"/>
  <c r="J44" i="6"/>
  <c r="H44" i="6"/>
  <c r="K43" i="6"/>
  <c r="M43" i="6" s="1"/>
  <c r="G43" i="6"/>
  <c r="F43" i="6"/>
  <c r="E43" i="6"/>
  <c r="D43" i="6"/>
  <c r="C43" i="6"/>
  <c r="K42" i="6"/>
  <c r="G42" i="6"/>
  <c r="F42" i="6"/>
  <c r="E42" i="6"/>
  <c r="D42" i="6"/>
  <c r="C42" i="6"/>
  <c r="K41" i="6"/>
  <c r="G41" i="6"/>
  <c r="F41" i="6"/>
  <c r="E41" i="6"/>
  <c r="D41" i="6"/>
  <c r="C41" i="6"/>
  <c r="K40" i="6"/>
  <c r="G40" i="6"/>
  <c r="F40" i="6"/>
  <c r="E40" i="6"/>
  <c r="D40" i="6"/>
  <c r="C40" i="6"/>
  <c r="K39" i="6"/>
  <c r="G39" i="6"/>
  <c r="F39" i="6"/>
  <c r="E39" i="6"/>
  <c r="D39" i="6"/>
  <c r="C39" i="6"/>
  <c r="K38" i="6"/>
  <c r="G38" i="6"/>
  <c r="F38" i="6"/>
  <c r="E38" i="6"/>
  <c r="D38" i="6"/>
  <c r="C38" i="6"/>
  <c r="K37" i="6"/>
  <c r="G37" i="6"/>
  <c r="F37" i="6"/>
  <c r="E37" i="6"/>
  <c r="D37" i="6"/>
  <c r="C37" i="6"/>
  <c r="K36" i="6"/>
  <c r="G36" i="6"/>
  <c r="F36" i="6"/>
  <c r="E36" i="6"/>
  <c r="D36" i="6"/>
  <c r="C36" i="6"/>
  <c r="K35" i="6"/>
  <c r="G35" i="6"/>
  <c r="F35" i="6"/>
  <c r="E35" i="6"/>
  <c r="D35" i="6"/>
  <c r="C35" i="6"/>
  <c r="K34" i="6"/>
  <c r="G34" i="6"/>
  <c r="F34" i="6"/>
  <c r="E34" i="6"/>
  <c r="D34" i="6"/>
  <c r="C34" i="6"/>
  <c r="K33" i="6"/>
  <c r="G33" i="6"/>
  <c r="F33" i="6"/>
  <c r="E33" i="6"/>
  <c r="D33" i="6"/>
  <c r="C33" i="6"/>
  <c r="K32" i="6"/>
  <c r="G32" i="6"/>
  <c r="F32" i="6"/>
  <c r="E32" i="6"/>
  <c r="D32" i="6"/>
  <c r="C32" i="6"/>
  <c r="K31" i="6"/>
  <c r="G31" i="6"/>
  <c r="F31" i="6"/>
  <c r="E31" i="6"/>
  <c r="D31" i="6"/>
  <c r="C31" i="6"/>
  <c r="K30" i="6"/>
  <c r="G30" i="6"/>
  <c r="F30" i="6"/>
  <c r="E30" i="6"/>
  <c r="D30" i="6"/>
  <c r="C30" i="6"/>
  <c r="K29" i="6"/>
  <c r="G29" i="6"/>
  <c r="F29" i="6"/>
  <c r="E29" i="6"/>
  <c r="D29" i="6"/>
  <c r="C29" i="6"/>
  <c r="K28" i="6"/>
  <c r="G28" i="6"/>
  <c r="F28" i="6"/>
  <c r="E28" i="6"/>
  <c r="D28" i="6"/>
  <c r="C28" i="6"/>
  <c r="K27" i="6"/>
  <c r="G27" i="6"/>
  <c r="F27" i="6"/>
  <c r="E27" i="6"/>
  <c r="D27" i="6"/>
  <c r="C27" i="6"/>
  <c r="K26" i="6"/>
  <c r="G26" i="6"/>
  <c r="F26" i="6"/>
  <c r="E26" i="6"/>
  <c r="D26" i="6"/>
  <c r="C26" i="6"/>
  <c r="K25" i="6"/>
  <c r="G25" i="6"/>
  <c r="F25" i="6"/>
  <c r="E25" i="6"/>
  <c r="D25" i="6"/>
  <c r="C25" i="6"/>
  <c r="K24" i="6"/>
  <c r="G24" i="6"/>
  <c r="F24" i="6"/>
  <c r="E24" i="6"/>
  <c r="D24" i="6"/>
  <c r="C24" i="6"/>
  <c r="K23" i="6"/>
  <c r="G23" i="6"/>
  <c r="F23" i="6"/>
  <c r="E23" i="6"/>
  <c r="D23" i="6"/>
  <c r="C23" i="6"/>
  <c r="K22" i="6"/>
  <c r="G22" i="6"/>
  <c r="F22" i="6"/>
  <c r="E22" i="6"/>
  <c r="D22" i="6"/>
  <c r="C22" i="6"/>
  <c r="K21" i="6"/>
  <c r="G21" i="6"/>
  <c r="F21" i="6"/>
  <c r="E21" i="6"/>
  <c r="D21" i="6"/>
  <c r="C21" i="6"/>
  <c r="K20" i="6"/>
  <c r="G20" i="6"/>
  <c r="F20" i="6"/>
  <c r="E20" i="6"/>
  <c r="D20" i="6"/>
  <c r="C20" i="6"/>
  <c r="K19" i="6"/>
  <c r="G19" i="6"/>
  <c r="F19" i="6"/>
  <c r="E19" i="6"/>
  <c r="D19" i="6"/>
  <c r="C19" i="6"/>
  <c r="K18" i="6"/>
  <c r="G18" i="6"/>
  <c r="F18" i="6"/>
  <c r="E18" i="6"/>
  <c r="D18" i="6"/>
  <c r="C18" i="6"/>
  <c r="K17" i="6"/>
  <c r="G17" i="6"/>
  <c r="F17" i="6"/>
  <c r="E17" i="6"/>
  <c r="D17" i="6"/>
  <c r="C17" i="6"/>
  <c r="K16" i="6"/>
  <c r="G16" i="6"/>
  <c r="F16" i="6"/>
  <c r="E16" i="6"/>
  <c r="D16" i="6"/>
  <c r="C16" i="6"/>
  <c r="K15" i="6"/>
  <c r="G15" i="6"/>
  <c r="F15" i="6"/>
  <c r="E15" i="6"/>
  <c r="D15" i="6"/>
  <c r="C15" i="6"/>
  <c r="K14" i="6"/>
  <c r="G14" i="6"/>
  <c r="F14" i="6"/>
  <c r="E14" i="6"/>
  <c r="D14" i="6"/>
  <c r="C14" i="6"/>
  <c r="K13" i="6"/>
  <c r="G13" i="6"/>
  <c r="F13" i="6"/>
  <c r="E13" i="6"/>
  <c r="D13" i="6"/>
  <c r="C13" i="6"/>
  <c r="K12" i="6"/>
  <c r="G12" i="6"/>
  <c r="F12" i="6"/>
  <c r="E12" i="6"/>
  <c r="D12" i="6"/>
  <c r="C12" i="6"/>
  <c r="K11" i="6"/>
  <c r="G11" i="6"/>
  <c r="F11" i="6"/>
  <c r="E11" i="6"/>
  <c r="D11" i="6"/>
  <c r="D44" i="6" s="1"/>
  <c r="C11" i="6"/>
  <c r="K10" i="6"/>
  <c r="G10" i="6"/>
  <c r="F10" i="6"/>
  <c r="E10" i="6"/>
  <c r="D10" i="6"/>
  <c r="C10" i="6"/>
  <c r="K9" i="6"/>
  <c r="K44" i="6" s="1"/>
  <c r="G9" i="6"/>
  <c r="G44" i="6" s="1"/>
  <c r="F9" i="6"/>
  <c r="E9" i="6"/>
  <c r="D9" i="6"/>
  <c r="C9" i="6"/>
  <c r="L6" i="6"/>
  <c r="H6" i="6"/>
  <c r="I4" i="6"/>
  <c r="I43" i="6" s="1"/>
  <c r="B3" i="6"/>
  <c r="J44" i="5"/>
  <c r="H44" i="5"/>
  <c r="K43" i="5"/>
  <c r="I43" i="5"/>
  <c r="G43" i="5"/>
  <c r="L43" i="5" s="1"/>
  <c r="F43" i="5"/>
  <c r="E43" i="5"/>
  <c r="D43" i="5"/>
  <c r="C43" i="5"/>
  <c r="K42" i="5"/>
  <c r="I42" i="5"/>
  <c r="G42" i="5"/>
  <c r="L42" i="5" s="1"/>
  <c r="F42" i="5"/>
  <c r="E42" i="5"/>
  <c r="D42" i="5"/>
  <c r="C42" i="5"/>
  <c r="K41" i="5"/>
  <c r="I41" i="5"/>
  <c r="G41" i="5"/>
  <c r="L41" i="5" s="1"/>
  <c r="F41" i="5"/>
  <c r="E41" i="5"/>
  <c r="D41" i="5"/>
  <c r="C41" i="5"/>
  <c r="K40" i="5"/>
  <c r="I40" i="5"/>
  <c r="G40" i="5"/>
  <c r="L40" i="5" s="1"/>
  <c r="F40" i="5"/>
  <c r="E40" i="5"/>
  <c r="D40" i="5"/>
  <c r="C40" i="5"/>
  <c r="K39" i="5"/>
  <c r="I39" i="5"/>
  <c r="G39" i="5"/>
  <c r="L39" i="5" s="1"/>
  <c r="F39" i="5"/>
  <c r="E39" i="5"/>
  <c r="D39" i="5"/>
  <c r="C39" i="5"/>
  <c r="K38" i="5"/>
  <c r="I38" i="5"/>
  <c r="G38" i="5"/>
  <c r="F38" i="5"/>
  <c r="E38" i="5"/>
  <c r="D38" i="5"/>
  <c r="C38" i="5"/>
  <c r="K37" i="5"/>
  <c r="I37" i="5"/>
  <c r="G37" i="5"/>
  <c r="L37" i="5" s="1"/>
  <c r="F37" i="5"/>
  <c r="E37" i="5"/>
  <c r="D37" i="5"/>
  <c r="C37" i="5"/>
  <c r="K36" i="5"/>
  <c r="I36" i="5"/>
  <c r="G36" i="5"/>
  <c r="L36" i="5" s="1"/>
  <c r="F36" i="5"/>
  <c r="E36" i="5"/>
  <c r="D36" i="5"/>
  <c r="C36" i="5"/>
  <c r="K35" i="5"/>
  <c r="I35" i="5"/>
  <c r="G35" i="5"/>
  <c r="L35" i="5" s="1"/>
  <c r="F35" i="5"/>
  <c r="E35" i="5"/>
  <c r="D35" i="5"/>
  <c r="C35" i="5"/>
  <c r="K34" i="5"/>
  <c r="I34" i="5"/>
  <c r="G34" i="5"/>
  <c r="L34" i="5" s="1"/>
  <c r="F34" i="5"/>
  <c r="E34" i="5"/>
  <c r="D34" i="5"/>
  <c r="C34" i="5"/>
  <c r="K33" i="5"/>
  <c r="I33" i="5"/>
  <c r="G33" i="5"/>
  <c r="L33" i="5" s="1"/>
  <c r="F33" i="5"/>
  <c r="E33" i="5"/>
  <c r="D33" i="5"/>
  <c r="C33" i="5"/>
  <c r="K32" i="5"/>
  <c r="I32" i="5"/>
  <c r="G32" i="5"/>
  <c r="L32" i="5" s="1"/>
  <c r="F32" i="5"/>
  <c r="E32" i="5"/>
  <c r="D32" i="5"/>
  <c r="C32" i="5"/>
  <c r="K31" i="5"/>
  <c r="I31" i="5"/>
  <c r="G31" i="5"/>
  <c r="F31" i="5"/>
  <c r="E31" i="5"/>
  <c r="D31" i="5"/>
  <c r="C31" i="5"/>
  <c r="K30" i="5"/>
  <c r="I30" i="5"/>
  <c r="G30" i="5"/>
  <c r="L30" i="5" s="1"/>
  <c r="F30" i="5"/>
  <c r="E30" i="5"/>
  <c r="D30" i="5"/>
  <c r="C30" i="5"/>
  <c r="K29" i="5"/>
  <c r="I29" i="5"/>
  <c r="G29" i="5"/>
  <c r="L29" i="5" s="1"/>
  <c r="F29" i="5"/>
  <c r="E29" i="5"/>
  <c r="D29" i="5"/>
  <c r="C29" i="5"/>
  <c r="K28" i="5"/>
  <c r="I28" i="5"/>
  <c r="G28" i="5"/>
  <c r="L28" i="5" s="1"/>
  <c r="F28" i="5"/>
  <c r="E28" i="5"/>
  <c r="D28" i="5"/>
  <c r="C28" i="5"/>
  <c r="K27" i="5"/>
  <c r="I27" i="5"/>
  <c r="G27" i="5"/>
  <c r="L27" i="5" s="1"/>
  <c r="F27" i="5"/>
  <c r="E27" i="5"/>
  <c r="D27" i="5"/>
  <c r="C27" i="5"/>
  <c r="K26" i="5"/>
  <c r="I26" i="5"/>
  <c r="G26" i="5"/>
  <c r="F26" i="5"/>
  <c r="E26" i="5"/>
  <c r="D26" i="5"/>
  <c r="C26" i="5"/>
  <c r="K25" i="5"/>
  <c r="I25" i="5"/>
  <c r="G25" i="5"/>
  <c r="L25" i="5" s="1"/>
  <c r="F25" i="5"/>
  <c r="E25" i="5"/>
  <c r="D25" i="5"/>
  <c r="C25" i="5"/>
  <c r="K24" i="5"/>
  <c r="I24" i="5"/>
  <c r="G24" i="5"/>
  <c r="F24" i="5"/>
  <c r="E24" i="5"/>
  <c r="D24" i="5"/>
  <c r="C24" i="5"/>
  <c r="K23" i="5"/>
  <c r="I23" i="5"/>
  <c r="G23" i="5"/>
  <c r="L23" i="5" s="1"/>
  <c r="F23" i="5"/>
  <c r="E23" i="5"/>
  <c r="D23" i="5"/>
  <c r="C23" i="5"/>
  <c r="K22" i="5"/>
  <c r="I22" i="5"/>
  <c r="G22" i="5"/>
  <c r="L22" i="5" s="1"/>
  <c r="F22" i="5"/>
  <c r="E22" i="5"/>
  <c r="D22" i="5"/>
  <c r="C22" i="5"/>
  <c r="K21" i="5"/>
  <c r="I21" i="5"/>
  <c r="G21" i="5"/>
  <c r="L21" i="5" s="1"/>
  <c r="F21" i="5"/>
  <c r="E21" i="5"/>
  <c r="D21" i="5"/>
  <c r="C21" i="5"/>
  <c r="K20" i="5"/>
  <c r="I20" i="5"/>
  <c r="G20" i="5"/>
  <c r="L20" i="5" s="1"/>
  <c r="F20" i="5"/>
  <c r="E20" i="5"/>
  <c r="D20" i="5"/>
  <c r="C20" i="5"/>
  <c r="K19" i="5"/>
  <c r="I19" i="5"/>
  <c r="G19" i="5"/>
  <c r="F19" i="5"/>
  <c r="E19" i="5"/>
  <c r="D19" i="5"/>
  <c r="C19" i="5"/>
  <c r="K18" i="5"/>
  <c r="I18" i="5"/>
  <c r="G18" i="5"/>
  <c r="L18" i="5" s="1"/>
  <c r="F18" i="5"/>
  <c r="E18" i="5"/>
  <c r="D18" i="5"/>
  <c r="C18" i="5"/>
  <c r="K17" i="5"/>
  <c r="I17" i="5"/>
  <c r="G17" i="5"/>
  <c r="F17" i="5"/>
  <c r="E17" i="5"/>
  <c r="D17" i="5"/>
  <c r="C17" i="5"/>
  <c r="K16" i="5"/>
  <c r="I16" i="5"/>
  <c r="G16" i="5"/>
  <c r="L16" i="5" s="1"/>
  <c r="F16" i="5"/>
  <c r="E16" i="5"/>
  <c r="D16" i="5"/>
  <c r="C16" i="5"/>
  <c r="K15" i="5"/>
  <c r="I15" i="5"/>
  <c r="G15" i="5"/>
  <c r="L15" i="5" s="1"/>
  <c r="F15" i="5"/>
  <c r="E15" i="5"/>
  <c r="D15" i="5"/>
  <c r="C15" i="5"/>
  <c r="K14" i="5"/>
  <c r="I14" i="5"/>
  <c r="G14" i="5"/>
  <c r="L14" i="5" s="1"/>
  <c r="F14" i="5"/>
  <c r="E14" i="5"/>
  <c r="D14" i="5"/>
  <c r="C14" i="5"/>
  <c r="K13" i="5"/>
  <c r="I13" i="5"/>
  <c r="G13" i="5"/>
  <c r="L13" i="5" s="1"/>
  <c r="F13" i="5"/>
  <c r="E13" i="5"/>
  <c r="D13" i="5"/>
  <c r="C13" i="5"/>
  <c r="K12" i="5"/>
  <c r="I12" i="5"/>
  <c r="G12" i="5"/>
  <c r="F12" i="5"/>
  <c r="E12" i="5"/>
  <c r="D12" i="5"/>
  <c r="C12" i="5"/>
  <c r="K11" i="5"/>
  <c r="I11" i="5"/>
  <c r="G11" i="5"/>
  <c r="L11" i="5" s="1"/>
  <c r="F11" i="5"/>
  <c r="E11" i="5"/>
  <c r="D11" i="5"/>
  <c r="C11" i="5"/>
  <c r="K10" i="5"/>
  <c r="I10" i="5"/>
  <c r="I44" i="5" s="1"/>
  <c r="G10" i="5"/>
  <c r="F10" i="5"/>
  <c r="E10" i="5"/>
  <c r="D10" i="5"/>
  <c r="C10" i="5"/>
  <c r="K9" i="5"/>
  <c r="K44" i="5" s="1"/>
  <c r="I9" i="5"/>
  <c r="G9" i="5"/>
  <c r="L9" i="5" s="1"/>
  <c r="F9" i="5"/>
  <c r="E9" i="5"/>
  <c r="D9" i="5"/>
  <c r="C9" i="5"/>
  <c r="B3" i="5"/>
  <c r="H6" i="5" s="1"/>
  <c r="J44" i="4"/>
  <c r="I44" i="4"/>
  <c r="H44" i="4"/>
  <c r="G44" i="4"/>
  <c r="F44" i="4"/>
  <c r="B3" i="4"/>
  <c r="D34" i="4" s="1"/>
  <c r="G2" i="4"/>
  <c r="D21" i="4" s="1"/>
  <c r="J44" i="3"/>
  <c r="I44" i="3"/>
  <c r="H44" i="3"/>
  <c r="G44" i="3"/>
  <c r="F44" i="3"/>
  <c r="D36" i="3"/>
  <c r="D35" i="3"/>
  <c r="D22" i="3"/>
  <c r="D21" i="3"/>
  <c r="D9" i="3"/>
  <c r="D8" i="3"/>
  <c r="B3" i="3"/>
  <c r="D34" i="3" s="1"/>
  <c r="G2" i="3"/>
  <c r="J44" i="1"/>
  <c r="I44" i="1"/>
  <c r="H44" i="1"/>
  <c r="G44" i="1"/>
  <c r="F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F44" i="5" l="1"/>
  <c r="L38" i="5"/>
  <c r="L17" i="5"/>
  <c r="L19" i="5"/>
  <c r="N19" i="5" s="1"/>
  <c r="L31" i="5"/>
  <c r="L10" i="5"/>
  <c r="N10" i="5" s="1"/>
  <c r="L12" i="5"/>
  <c r="N12" i="5" s="1"/>
  <c r="C44" i="5"/>
  <c r="D44" i="5"/>
  <c r="L24" i="5"/>
  <c r="N24" i="5" s="1"/>
  <c r="E44" i="5"/>
  <c r="L26" i="5"/>
  <c r="L44" i="5" s="1"/>
  <c r="C69" i="11" a="1"/>
  <c r="C69" i="11" s="1"/>
  <c r="C72" i="11" a="1"/>
  <c r="C72" i="11" s="1"/>
  <c r="C70" i="11" a="1"/>
  <c r="C70" i="11" s="1"/>
  <c r="C63" i="11" a="1"/>
  <c r="C63" i="11" s="1"/>
  <c r="F63" i="11" s="1"/>
  <c r="C68" i="11" a="1"/>
  <c r="C68" i="11" s="1"/>
  <c r="C61" i="11" a="1"/>
  <c r="C61" i="11" s="1"/>
  <c r="F61" i="11" s="1"/>
  <c r="D55" i="11" a="1"/>
  <c r="D55" i="11" s="1"/>
  <c r="D69" i="11" a="1"/>
  <c r="D69" i="11" s="1"/>
  <c r="D63" i="11" a="1"/>
  <c r="D63" i="11" s="1"/>
  <c r="D72" i="11" a="1"/>
  <c r="D72" i="11" s="1"/>
  <c r="D56" i="11" a="1"/>
  <c r="D56" i="11" s="1"/>
  <c r="D68" i="11" a="1"/>
  <c r="D68" i="11" s="1"/>
  <c r="D58" i="11" a="1"/>
  <c r="D58" i="11" s="1"/>
  <c r="E61" i="11" a="1"/>
  <c r="E61" i="11" s="1"/>
  <c r="E63" i="11" a="1"/>
  <c r="E63" i="11" s="1"/>
  <c r="E66" i="11" a="1"/>
  <c r="E66" i="11" s="1"/>
  <c r="D66" i="11" a="1"/>
  <c r="D66" i="11" s="1"/>
  <c r="C66" i="11" a="1"/>
  <c r="C66" i="11" s="1"/>
  <c r="F66" i="11" s="1"/>
  <c r="D64" i="11" a="1"/>
  <c r="D64" i="11" s="1"/>
  <c r="C64" i="11" a="1"/>
  <c r="C64" i="11" s="1"/>
  <c r="E71" i="11" a="1"/>
  <c r="E71" i="11" s="1"/>
  <c r="D71" i="11" a="1"/>
  <c r="D71" i="11" s="1"/>
  <c r="C71" i="11" a="1"/>
  <c r="C71" i="11" s="1"/>
  <c r="E53" i="11" a="1"/>
  <c r="E53" i="11" s="1"/>
  <c r="D53" i="11" a="1"/>
  <c r="D53" i="11" s="1"/>
  <c r="C53" i="11" a="1"/>
  <c r="C53" i="11" s="1"/>
  <c r="F53" i="11" s="1"/>
  <c r="E65" i="11" a="1"/>
  <c r="E65" i="11" s="1"/>
  <c r="C65" i="11" a="1"/>
  <c r="C65" i="11" s="1"/>
  <c r="D65" i="11" a="1"/>
  <c r="D65" i="11" s="1"/>
  <c r="E62" i="11" a="1"/>
  <c r="E62" i="11" s="1"/>
  <c r="E56" i="11" a="1"/>
  <c r="E56" i="11" s="1"/>
  <c r="G8" i="11"/>
  <c r="D60" i="11" s="1" a="1"/>
  <c r="D60" i="11" s="1"/>
  <c r="D61" i="11" a="1"/>
  <c r="D61" i="11" s="1"/>
  <c r="D67" i="11" a="1"/>
  <c r="D67" i="11" s="1"/>
  <c r="E70" i="11" a="1"/>
  <c r="E70" i="11" s="1"/>
  <c r="M31" i="10"/>
  <c r="N31" i="10"/>
  <c r="M24" i="10"/>
  <c r="N24" i="10"/>
  <c r="N17" i="10"/>
  <c r="M17" i="10"/>
  <c r="M10" i="10"/>
  <c r="N10" i="10"/>
  <c r="N37" i="10"/>
  <c r="M37" i="10"/>
  <c r="L42" i="10"/>
  <c r="L13" i="10"/>
  <c r="N30" i="10"/>
  <c r="M30" i="10"/>
  <c r="N23" i="10"/>
  <c r="M23" i="10"/>
  <c r="N16" i="10"/>
  <c r="M16" i="10"/>
  <c r="L28" i="10"/>
  <c r="L40" i="10"/>
  <c r="L21" i="10"/>
  <c r="L43" i="10"/>
  <c r="N38" i="10"/>
  <c r="M38" i="10"/>
  <c r="L9" i="10"/>
  <c r="I43" i="10"/>
  <c r="K15" i="10"/>
  <c r="L15" i="10" s="1"/>
  <c r="K22" i="10"/>
  <c r="L22" i="10" s="1"/>
  <c r="K29" i="10"/>
  <c r="L29" i="10" s="1"/>
  <c r="K36" i="10"/>
  <c r="K43" i="10"/>
  <c r="I29" i="10"/>
  <c r="I36" i="10"/>
  <c r="L36" i="10" s="1"/>
  <c r="I14" i="10"/>
  <c r="L14" i="10" s="1"/>
  <c r="I21" i="10"/>
  <c r="I28" i="10"/>
  <c r="I35" i="10"/>
  <c r="L35" i="10" s="1"/>
  <c r="I42" i="10"/>
  <c r="K42" i="10"/>
  <c r="I13" i="10"/>
  <c r="I20" i="10"/>
  <c r="I27" i="10"/>
  <c r="L27" i="10" s="1"/>
  <c r="I34" i="10"/>
  <c r="L34" i="10" s="1"/>
  <c r="I41" i="10"/>
  <c r="L41" i="10" s="1"/>
  <c r="K13" i="10"/>
  <c r="I19" i="10"/>
  <c r="K12" i="10"/>
  <c r="K19" i="10"/>
  <c r="L19" i="10" s="1"/>
  <c r="K26" i="10"/>
  <c r="K33" i="10"/>
  <c r="K40" i="10"/>
  <c r="K27" i="10"/>
  <c r="I12" i="10"/>
  <c r="L12" i="10" s="1"/>
  <c r="I11" i="10"/>
  <c r="L11" i="10" s="1"/>
  <c r="I18" i="10"/>
  <c r="L18" i="10" s="1"/>
  <c r="I25" i="10"/>
  <c r="L25" i="10" s="1"/>
  <c r="I32" i="10"/>
  <c r="L32" i="10" s="1"/>
  <c r="I39" i="10"/>
  <c r="L39" i="10" s="1"/>
  <c r="K20" i="10"/>
  <c r="L20" i="10" s="1"/>
  <c r="K34" i="10"/>
  <c r="K41" i="10"/>
  <c r="I26" i="10"/>
  <c r="L26" i="10" s="1"/>
  <c r="I33" i="10"/>
  <c r="L33" i="10" s="1"/>
  <c r="I40" i="10"/>
  <c r="K11" i="10"/>
  <c r="K44" i="10" s="1"/>
  <c r="K18" i="10"/>
  <c r="K25" i="10"/>
  <c r="K32" i="10"/>
  <c r="K54" i="9" a="1"/>
  <c r="K54" i="9" s="1"/>
  <c r="D54" i="9" a="1"/>
  <c r="D54" i="9" s="1"/>
  <c r="J54" i="9" a="1"/>
  <c r="J54" i="9" s="1"/>
  <c r="D62" i="9" a="1"/>
  <c r="D62" i="9" s="1"/>
  <c r="J62" i="9" a="1"/>
  <c r="J62" i="9" s="1"/>
  <c r="C62" i="9" a="1"/>
  <c r="C62" i="9" s="1"/>
  <c r="I62" i="9" a="1"/>
  <c r="I62" i="9" s="1"/>
  <c r="O51" i="9" a="1"/>
  <c r="O51" i="9" s="1"/>
  <c r="H51" i="9" a="1"/>
  <c r="H51" i="9" s="1"/>
  <c r="J60" i="9" a="1"/>
  <c r="J60" i="9" s="1"/>
  <c r="G12" i="9"/>
  <c r="N51" i="9" s="1" a="1"/>
  <c r="N51" i="9" s="1"/>
  <c r="G56" i="9" a="1"/>
  <c r="G56" i="9" s="1"/>
  <c r="G58" i="9" a="1"/>
  <c r="G58" i="9" s="1"/>
  <c r="N57" i="9" a="1"/>
  <c r="N57" i="9" s="1"/>
  <c r="M51" i="9" a="1"/>
  <c r="M51" i="9" s="1"/>
  <c r="H53" i="9" a="1"/>
  <c r="H53" i="9" s="1"/>
  <c r="C57" i="9" a="1"/>
  <c r="C57" i="9" s="1"/>
  <c r="L60" i="9" a="1"/>
  <c r="L60" i="9" s="1"/>
  <c r="F55" i="9" a="1"/>
  <c r="F55" i="9" s="1"/>
  <c r="L55" i="9" a="1"/>
  <c r="L55" i="9" s="1"/>
  <c r="E55" i="9" a="1"/>
  <c r="E55" i="9" s="1"/>
  <c r="D55" i="9" a="1"/>
  <c r="D55" i="9" s="1"/>
  <c r="O55" i="9" a="1"/>
  <c r="O55" i="9" s="1"/>
  <c r="J57" i="9" a="1"/>
  <c r="J57" i="9" s="1"/>
  <c r="J61" i="9" a="1"/>
  <c r="J61" i="9" s="1"/>
  <c r="F51" i="9" a="1"/>
  <c r="F51" i="9" s="1"/>
  <c r="C53" i="9" a="1"/>
  <c r="C53" i="9" s="1"/>
  <c r="I53" i="9" a="1"/>
  <c r="I53" i="9" s="1"/>
  <c r="N53" i="9" a="1"/>
  <c r="N53" i="9" s="1"/>
  <c r="C43" i="9"/>
  <c r="G8" i="9"/>
  <c r="O53" i="9" s="1" a="1"/>
  <c r="O53" i="9" s="1"/>
  <c r="M59" i="9" a="1"/>
  <c r="M59" i="9" s="1"/>
  <c r="N61" i="9" a="1"/>
  <c r="N61" i="9" s="1"/>
  <c r="C52" i="9" a="1"/>
  <c r="C52" i="9" s="1"/>
  <c r="J52" i="9" a="1"/>
  <c r="J52" i="9" s="1"/>
  <c r="O59" i="9" a="1"/>
  <c r="O59" i="9" s="1"/>
  <c r="I61" i="9" a="1"/>
  <c r="I61" i="9" s="1"/>
  <c r="I59" i="9" a="1"/>
  <c r="I59" i="9" s="1"/>
  <c r="C61" i="9" a="1"/>
  <c r="C61" i="9" s="1"/>
  <c r="M23" i="8"/>
  <c r="N23" i="8"/>
  <c r="N30" i="8"/>
  <c r="M30" i="8"/>
  <c r="M37" i="8"/>
  <c r="N37" i="8"/>
  <c r="L42" i="8"/>
  <c r="L26" i="8"/>
  <c r="N22" i="8"/>
  <c r="M22" i="8"/>
  <c r="M29" i="8"/>
  <c r="N29" i="8"/>
  <c r="N38" i="8"/>
  <c r="M38" i="8"/>
  <c r="N21" i="8"/>
  <c r="M21" i="8"/>
  <c r="M15" i="8"/>
  <c r="N15" i="8"/>
  <c r="N24" i="8"/>
  <c r="M24" i="8"/>
  <c r="L20" i="8"/>
  <c r="M9" i="8"/>
  <c r="N9" i="8"/>
  <c r="K44" i="8"/>
  <c r="N28" i="8"/>
  <c r="M28" i="8"/>
  <c r="N35" i="8"/>
  <c r="M35" i="8"/>
  <c r="N10" i="8"/>
  <c r="M10" i="8"/>
  <c r="N17" i="8"/>
  <c r="M17" i="8"/>
  <c r="L40" i="8"/>
  <c r="L13" i="8"/>
  <c r="N31" i="8"/>
  <c r="M31" i="8"/>
  <c r="M36" i="8"/>
  <c r="N36" i="8"/>
  <c r="N43" i="8"/>
  <c r="M43" i="8"/>
  <c r="N14" i="8"/>
  <c r="M14" i="8"/>
  <c r="N16" i="8"/>
  <c r="M16" i="8"/>
  <c r="K42" i="8"/>
  <c r="I13" i="8"/>
  <c r="I20" i="8"/>
  <c r="I27" i="8"/>
  <c r="I34" i="8"/>
  <c r="I41" i="8"/>
  <c r="G44" i="8"/>
  <c r="K13" i="8"/>
  <c r="K27" i="8"/>
  <c r="L27" i="8" s="1"/>
  <c r="K34" i="8"/>
  <c r="L34" i="8" s="1"/>
  <c r="K41" i="8"/>
  <c r="L41" i="8" s="1"/>
  <c r="I12" i="8"/>
  <c r="L12" i="8" s="1"/>
  <c r="I19" i="8"/>
  <c r="L19" i="8" s="1"/>
  <c r="I26" i="8"/>
  <c r="I33" i="8"/>
  <c r="L33" i="8" s="1"/>
  <c r="I40" i="8"/>
  <c r="K20" i="8"/>
  <c r="K12" i="8"/>
  <c r="K19" i="8"/>
  <c r="K26" i="8"/>
  <c r="K33" i="8"/>
  <c r="K40" i="8"/>
  <c r="I11" i="8"/>
  <c r="L11" i="8" s="1"/>
  <c r="I18" i="8"/>
  <c r="L18" i="8" s="1"/>
  <c r="I25" i="8"/>
  <c r="L25" i="8" s="1"/>
  <c r="I32" i="8"/>
  <c r="L32" i="8" s="1"/>
  <c r="I39" i="8"/>
  <c r="L39" i="8" s="1"/>
  <c r="K11" i="8"/>
  <c r="K18" i="8"/>
  <c r="K25" i="8"/>
  <c r="K32" i="8"/>
  <c r="M31" i="6"/>
  <c r="M32" i="6"/>
  <c r="M20" i="6"/>
  <c r="M30" i="6"/>
  <c r="M27" i="6"/>
  <c r="O43" i="6"/>
  <c r="N43" i="6"/>
  <c r="F44" i="6"/>
  <c r="C44" i="6"/>
  <c r="E44" i="6"/>
  <c r="I9" i="6"/>
  <c r="I10" i="6"/>
  <c r="M10" i="6" s="1"/>
  <c r="I11" i="6"/>
  <c r="M11" i="6" s="1"/>
  <c r="I12" i="6"/>
  <c r="M12" i="6" s="1"/>
  <c r="I13" i="6"/>
  <c r="M13" i="6" s="1"/>
  <c r="I14" i="6"/>
  <c r="M14" i="6" s="1"/>
  <c r="I15" i="6"/>
  <c r="M15" i="6" s="1"/>
  <c r="I16" i="6"/>
  <c r="M16" i="6" s="1"/>
  <c r="I17" i="6"/>
  <c r="M17" i="6" s="1"/>
  <c r="I18" i="6"/>
  <c r="M18" i="6" s="1"/>
  <c r="I19" i="6"/>
  <c r="M19" i="6" s="1"/>
  <c r="I20" i="6"/>
  <c r="I21" i="6"/>
  <c r="M21" i="6" s="1"/>
  <c r="I22" i="6"/>
  <c r="M22" i="6" s="1"/>
  <c r="I23" i="6"/>
  <c r="M23" i="6" s="1"/>
  <c r="I24" i="6"/>
  <c r="M24" i="6" s="1"/>
  <c r="I25" i="6"/>
  <c r="M25" i="6" s="1"/>
  <c r="I26" i="6"/>
  <c r="M26" i="6" s="1"/>
  <c r="I27" i="6"/>
  <c r="I28" i="6"/>
  <c r="M28" i="6" s="1"/>
  <c r="I29" i="6"/>
  <c r="M29" i="6" s="1"/>
  <c r="I30" i="6"/>
  <c r="I31" i="6"/>
  <c r="I32" i="6"/>
  <c r="I33" i="6"/>
  <c r="M33" i="6" s="1"/>
  <c r="I34" i="6"/>
  <c r="M34" i="6" s="1"/>
  <c r="I35" i="6"/>
  <c r="M35" i="6" s="1"/>
  <c r="I36" i="6"/>
  <c r="M36" i="6" s="1"/>
  <c r="I37" i="6"/>
  <c r="M37" i="6" s="1"/>
  <c r="I38" i="6"/>
  <c r="M38" i="6" s="1"/>
  <c r="I39" i="6"/>
  <c r="M39" i="6" s="1"/>
  <c r="I40" i="6"/>
  <c r="M40" i="6" s="1"/>
  <c r="I41" i="6"/>
  <c r="M41" i="6" s="1"/>
  <c r="I42" i="6"/>
  <c r="M42" i="6" s="1"/>
  <c r="M12" i="5"/>
  <c r="N28" i="5"/>
  <c r="M28" i="5"/>
  <c r="N30" i="5"/>
  <c r="M30" i="5"/>
  <c r="N34" i="5"/>
  <c r="M34" i="5"/>
  <c r="M40" i="5"/>
  <c r="N40" i="5"/>
  <c r="N9" i="5"/>
  <c r="M9" i="5"/>
  <c r="N13" i="5"/>
  <c r="M13" i="5"/>
  <c r="N21" i="5"/>
  <c r="M21" i="5"/>
  <c r="N17" i="5"/>
  <c r="M17" i="5"/>
  <c r="M29" i="5"/>
  <c r="N29" i="5"/>
  <c r="M19" i="5"/>
  <c r="M33" i="5"/>
  <c r="N33" i="5"/>
  <c r="N37" i="5"/>
  <c r="M37" i="5"/>
  <c r="M31" i="5"/>
  <c r="N31" i="5"/>
  <c r="N41" i="5"/>
  <c r="M41" i="5"/>
  <c r="N14" i="5"/>
  <c r="M14" i="5"/>
  <c r="N16" i="5"/>
  <c r="M16" i="5"/>
  <c r="M36" i="5"/>
  <c r="N36" i="5"/>
  <c r="N42" i="5"/>
  <c r="M42" i="5"/>
  <c r="M38" i="5"/>
  <c r="N38" i="5"/>
  <c r="M15" i="5"/>
  <c r="N15" i="5"/>
  <c r="N23" i="5"/>
  <c r="M23" i="5"/>
  <c r="N27" i="5"/>
  <c r="M27" i="5"/>
  <c r="N35" i="5"/>
  <c r="M35" i="5"/>
  <c r="N43" i="5"/>
  <c r="M43" i="5"/>
  <c r="N20" i="5"/>
  <c r="M20" i="5"/>
  <c r="M22" i="5"/>
  <c r="N22" i="5"/>
  <c r="M32" i="5"/>
  <c r="M39" i="5"/>
  <c r="G44" i="5"/>
  <c r="N11" i="5"/>
  <c r="N18" i="5"/>
  <c r="N25" i="5"/>
  <c r="N32" i="5"/>
  <c r="N39" i="5"/>
  <c r="M18" i="5"/>
  <c r="M25" i="5"/>
  <c r="M11" i="5"/>
  <c r="D8" i="4"/>
  <c r="D36" i="4"/>
  <c r="D37" i="4"/>
  <c r="D24" i="4"/>
  <c r="D11" i="4"/>
  <c r="D40" i="4"/>
  <c r="D41" i="4"/>
  <c r="D14" i="4"/>
  <c r="D28" i="4"/>
  <c r="D42" i="4"/>
  <c r="D9" i="4"/>
  <c r="D39" i="4"/>
  <c r="D13" i="4"/>
  <c r="D15" i="4"/>
  <c r="D29" i="4"/>
  <c r="D43" i="4"/>
  <c r="D35" i="4"/>
  <c r="D26" i="4"/>
  <c r="D16" i="4"/>
  <c r="D30" i="4"/>
  <c r="D22" i="4"/>
  <c r="D10" i="4"/>
  <c r="D12" i="4"/>
  <c r="D17" i="4"/>
  <c r="D31" i="4"/>
  <c r="D23" i="4"/>
  <c r="D38" i="4"/>
  <c r="D25" i="4"/>
  <c r="D27" i="4"/>
  <c r="D18" i="4"/>
  <c r="D32" i="4"/>
  <c r="D19" i="4"/>
  <c r="D33" i="4"/>
  <c r="D20" i="4"/>
  <c r="D23" i="3"/>
  <c r="D10" i="3"/>
  <c r="D38" i="3"/>
  <c r="D25" i="3"/>
  <c r="D40" i="3"/>
  <c r="D27" i="3"/>
  <c r="D42" i="3"/>
  <c r="D17" i="3"/>
  <c r="D31" i="3"/>
  <c r="D37" i="3"/>
  <c r="D24" i="3"/>
  <c r="D11" i="3"/>
  <c r="D39" i="3"/>
  <c r="D12" i="3"/>
  <c r="D26" i="3"/>
  <c r="D13" i="3"/>
  <c r="D41" i="3"/>
  <c r="D14" i="3"/>
  <c r="D28" i="3"/>
  <c r="D15" i="3"/>
  <c r="D29" i="3"/>
  <c r="D43" i="3"/>
  <c r="D16" i="3"/>
  <c r="D30" i="3"/>
  <c r="D18" i="3"/>
  <c r="D32" i="3"/>
  <c r="D19" i="3"/>
  <c r="D33" i="3"/>
  <c r="D20" i="3"/>
  <c r="M10" i="5" l="1"/>
  <c r="N26" i="5"/>
  <c r="M26" i="5"/>
  <c r="M24" i="5"/>
  <c r="M44" i="5" s="1"/>
  <c r="F65" i="11"/>
  <c r="D62" i="11" a="1"/>
  <c r="D62" i="11" s="1"/>
  <c r="C67" i="11" a="1"/>
  <c r="C67" i="11" s="1"/>
  <c r="F71" i="11"/>
  <c r="E69" i="11" a="1"/>
  <c r="E69" i="11" s="1"/>
  <c r="C55" i="11" a="1"/>
  <c r="C55" i="11" s="1"/>
  <c r="C56" i="11" a="1"/>
  <c r="C56" i="11" s="1"/>
  <c r="F56" i="11" s="1"/>
  <c r="F64" i="11"/>
  <c r="F69" i="11"/>
  <c r="F70" i="11"/>
  <c r="E55" i="11" a="1"/>
  <c r="E55" i="11" s="1"/>
  <c r="J6" i="11" a="1"/>
  <c r="J6" i="11" s="1"/>
  <c r="F75" i="11"/>
  <c r="E51" i="11" a="1"/>
  <c r="E51" i="11" s="1"/>
  <c r="G33" i="11"/>
  <c r="D51" i="11" a="1"/>
  <c r="D51" i="11" s="1"/>
  <c r="C51" i="11" a="1"/>
  <c r="C51" i="11" s="1"/>
  <c r="D70" i="11" a="1"/>
  <c r="D70" i="11" s="1"/>
  <c r="C58" i="11" a="1"/>
  <c r="C58" i="11" s="1"/>
  <c r="E67" i="11" a="1"/>
  <c r="E67" i="11" s="1"/>
  <c r="E60" i="11" a="1"/>
  <c r="E60" i="11" s="1"/>
  <c r="E58" i="11" a="1"/>
  <c r="E58" i="11" s="1"/>
  <c r="C57" i="11" a="1"/>
  <c r="C57" i="11" s="1"/>
  <c r="F57" i="11" s="1"/>
  <c r="C60" i="11" a="1"/>
  <c r="C60" i="11" s="1"/>
  <c r="F60" i="11" s="1"/>
  <c r="C52" i="11" a="1"/>
  <c r="C52" i="11" s="1"/>
  <c r="F52" i="11" s="1"/>
  <c r="E68" i="11" a="1"/>
  <c r="E68" i="11" s="1"/>
  <c r="F68" i="11" s="1"/>
  <c r="D52" i="11" a="1"/>
  <c r="D52" i="11" s="1"/>
  <c r="D54" i="11" a="1"/>
  <c r="D54" i="11" s="1"/>
  <c r="D57" i="11" a="1"/>
  <c r="D57" i="11" s="1"/>
  <c r="C59" i="11" a="1"/>
  <c r="C59" i="11" s="1"/>
  <c r="C54" i="11" a="1"/>
  <c r="C54" i="11" s="1"/>
  <c r="E57" i="11" a="1"/>
  <c r="E57" i="11" s="1"/>
  <c r="D59" i="11" a="1"/>
  <c r="D59" i="11" s="1"/>
  <c r="E52" i="11" a="1"/>
  <c r="E52" i="11" s="1"/>
  <c r="E72" i="11" a="1"/>
  <c r="E72" i="11" s="1"/>
  <c r="F72" i="11" s="1"/>
  <c r="E64" i="11" a="1"/>
  <c r="E64" i="11" s="1"/>
  <c r="E54" i="11" a="1"/>
  <c r="E54" i="11" s="1"/>
  <c r="C62" i="11" a="1"/>
  <c r="C62" i="11" s="1"/>
  <c r="F62" i="11" s="1"/>
  <c r="E59" i="11" a="1"/>
  <c r="E59" i="11" s="1"/>
  <c r="M22" i="10"/>
  <c r="N22" i="10"/>
  <c r="N34" i="10"/>
  <c r="M34" i="10"/>
  <c r="M15" i="10"/>
  <c r="N15" i="10"/>
  <c r="N36" i="10"/>
  <c r="M36" i="10"/>
  <c r="M12" i="10"/>
  <c r="N12" i="10"/>
  <c r="N35" i="10"/>
  <c r="M35" i="10"/>
  <c r="M26" i="10"/>
  <c r="N26" i="10"/>
  <c r="N14" i="10"/>
  <c r="M14" i="10"/>
  <c r="N20" i="10"/>
  <c r="M20" i="10"/>
  <c r="M29" i="10"/>
  <c r="N29" i="10"/>
  <c r="N27" i="10"/>
  <c r="M27" i="10"/>
  <c r="M33" i="10"/>
  <c r="N33" i="10"/>
  <c r="M19" i="10"/>
  <c r="N19" i="10"/>
  <c r="N41" i="10"/>
  <c r="M41" i="10"/>
  <c r="N43" i="10"/>
  <c r="M43" i="10"/>
  <c r="M21" i="10"/>
  <c r="N21" i="10"/>
  <c r="N28" i="10"/>
  <c r="M28" i="10"/>
  <c r="N13" i="10"/>
  <c r="M13" i="10"/>
  <c r="N42" i="10"/>
  <c r="M42" i="10"/>
  <c r="N39" i="10"/>
  <c r="M39" i="10"/>
  <c r="N32" i="10"/>
  <c r="M32" i="10"/>
  <c r="M40" i="10"/>
  <c r="N40" i="10"/>
  <c r="M25" i="10"/>
  <c r="N25" i="10"/>
  <c r="M18" i="10"/>
  <c r="N18" i="10"/>
  <c r="M11" i="10"/>
  <c r="N11" i="10"/>
  <c r="L44" i="10"/>
  <c r="N9" i="10"/>
  <c r="M9" i="10"/>
  <c r="I44" i="10"/>
  <c r="N58" i="9" a="1"/>
  <c r="N58" i="9" s="1"/>
  <c r="M61" i="9" a="1"/>
  <c r="M61" i="9" s="1"/>
  <c r="D53" i="9" a="1"/>
  <c r="D53" i="9" s="1"/>
  <c r="F56" i="9" a="1"/>
  <c r="F56" i="9" s="1"/>
  <c r="N55" i="9" a="1"/>
  <c r="N55" i="9" s="1"/>
  <c r="K57" i="9" a="1"/>
  <c r="K57" i="9" s="1"/>
  <c r="N56" i="9" a="1"/>
  <c r="N56" i="9" s="1"/>
  <c r="J51" i="9" a="1"/>
  <c r="J51" i="9" s="1"/>
  <c r="M56" i="9" a="1"/>
  <c r="M56" i="9" s="1"/>
  <c r="M54" i="9" a="1"/>
  <c r="M54" i="9" s="1"/>
  <c r="P53" i="9"/>
  <c r="I51" i="9" a="1"/>
  <c r="I51" i="9" s="1"/>
  <c r="E54" i="9" a="1"/>
  <c r="E54" i="9" s="1"/>
  <c r="I52" i="9" a="1"/>
  <c r="I52" i="9" s="1"/>
  <c r="C51" i="9" a="1"/>
  <c r="C51" i="9" s="1"/>
  <c r="H61" i="9" a="1"/>
  <c r="H61" i="9" s="1"/>
  <c r="M55" i="9" a="1"/>
  <c r="M55" i="9" s="1"/>
  <c r="M52" i="9" a="1"/>
  <c r="M52" i="9" s="1"/>
  <c r="F54" i="9" a="1"/>
  <c r="F54" i="9" s="1"/>
  <c r="N59" i="9" a="1"/>
  <c r="N59" i="9" s="1"/>
  <c r="L59" i="9" a="1"/>
  <c r="L59" i="9" s="1"/>
  <c r="E53" i="9" a="1"/>
  <c r="E53" i="9" s="1"/>
  <c r="M62" i="9" a="1"/>
  <c r="M62" i="9" s="1"/>
  <c r="E60" i="9" a="1"/>
  <c r="E60" i="9" s="1"/>
  <c r="L57" i="9" a="1"/>
  <c r="L57" i="9" s="1"/>
  <c r="M60" i="9" a="1"/>
  <c r="M60" i="9" s="1"/>
  <c r="K51" i="9" a="1"/>
  <c r="K51" i="9" s="1"/>
  <c r="J56" i="9" a="1"/>
  <c r="J56" i="9" s="1"/>
  <c r="G54" i="9" a="1"/>
  <c r="G54" i="9" s="1"/>
  <c r="F59" i="9" a="1"/>
  <c r="F59" i="9" s="1"/>
  <c r="L54" i="9" a="1"/>
  <c r="L54" i="9" s="1"/>
  <c r="G59" i="9" a="1"/>
  <c r="G59" i="9" s="1"/>
  <c r="M53" i="9" a="1"/>
  <c r="M53" i="9" s="1"/>
  <c r="M63" i="9" s="1"/>
  <c r="I57" i="9" a="1"/>
  <c r="I57" i="9" s="1"/>
  <c r="O58" i="9" a="1"/>
  <c r="O58" i="9" s="1"/>
  <c r="D57" i="9" a="1"/>
  <c r="D57" i="9" s="1"/>
  <c r="P57" i="9" s="1"/>
  <c r="G60" i="9" a="1"/>
  <c r="G60" i="9" s="1"/>
  <c r="E51" i="9" a="1"/>
  <c r="E51" i="9" s="1"/>
  <c r="J59" i="9" a="1"/>
  <c r="J59" i="9" s="1"/>
  <c r="N54" i="9" a="1"/>
  <c r="N54" i="9" s="1"/>
  <c r="K60" i="9" a="1"/>
  <c r="K60" i="9" s="1"/>
  <c r="F61" i="9" a="1"/>
  <c r="F61" i="9" s="1"/>
  <c r="D51" i="9" a="1"/>
  <c r="D51" i="9" s="1"/>
  <c r="I55" i="9" a="1"/>
  <c r="I55" i="9" s="1"/>
  <c r="H58" i="9" a="1"/>
  <c r="H58" i="9" s="1"/>
  <c r="F57" i="9" a="1"/>
  <c r="F57" i="9" s="1"/>
  <c r="N60" i="9" a="1"/>
  <c r="N60" i="9" s="1"/>
  <c r="L51" i="9" a="1"/>
  <c r="L51" i="9" s="1"/>
  <c r="J58" i="9" a="1"/>
  <c r="J58" i="9" s="1"/>
  <c r="D60" i="9" a="1"/>
  <c r="D60" i="9" s="1"/>
  <c r="J53" i="9" a="1"/>
  <c r="J53" i="9" s="1"/>
  <c r="O61" i="9" a="1"/>
  <c r="O61" i="9" s="1"/>
  <c r="P61" i="9" s="1"/>
  <c r="K61" i="9" a="1"/>
  <c r="K61" i="9" s="1"/>
  <c r="M58" i="9" a="1"/>
  <c r="M58" i="9" s="1"/>
  <c r="D56" i="9" a="1"/>
  <c r="D56" i="9" s="1"/>
  <c r="F53" i="9" a="1"/>
  <c r="F53" i="9" s="1"/>
  <c r="L58" i="9" a="1"/>
  <c r="L58" i="9" s="1"/>
  <c r="M57" i="9" a="1"/>
  <c r="M57" i="9" s="1"/>
  <c r="H60" i="9" a="1"/>
  <c r="H60" i="9" s="1"/>
  <c r="G62" i="9" a="1"/>
  <c r="G62" i="9" s="1"/>
  <c r="H54" i="9" a="1"/>
  <c r="H54" i="9" s="1"/>
  <c r="O52" i="9" a="1"/>
  <c r="O52" i="9" s="1"/>
  <c r="O63" i="9" s="1"/>
  <c r="F63" i="9"/>
  <c r="E52" i="9" a="1"/>
  <c r="E52" i="9" s="1"/>
  <c r="E59" i="9" a="1"/>
  <c r="E59" i="9" s="1"/>
  <c r="E58" i="9" a="1"/>
  <c r="E58" i="9" s="1"/>
  <c r="E61" i="9" a="1"/>
  <c r="E61" i="9" s="1"/>
  <c r="E62" i="9" a="1"/>
  <c r="E62" i="9" s="1"/>
  <c r="G55" i="9" a="1"/>
  <c r="G55" i="9" s="1"/>
  <c r="K53" i="9" a="1"/>
  <c r="K53" i="9" s="1"/>
  <c r="E57" i="9" a="1"/>
  <c r="E57" i="9" s="1"/>
  <c r="L53" i="9" a="1"/>
  <c r="L53" i="9" s="1"/>
  <c r="F58" i="9" a="1"/>
  <c r="F58" i="9" s="1"/>
  <c r="D52" i="9" a="1"/>
  <c r="D52" i="9" s="1"/>
  <c r="P52" i="9" s="1"/>
  <c r="G51" i="9" a="1"/>
  <c r="G51" i="9" s="1"/>
  <c r="C55" i="9" a="1"/>
  <c r="C55" i="9" s="1"/>
  <c r="L52" i="9" a="1"/>
  <c r="L52" i="9" s="1"/>
  <c r="G57" i="9" a="1"/>
  <c r="G57" i="9" s="1"/>
  <c r="O60" i="9" a="1"/>
  <c r="O60" i="9" s="1"/>
  <c r="H62" i="9" a="1"/>
  <c r="H62" i="9" s="1"/>
  <c r="I54" i="9" a="1"/>
  <c r="I54" i="9" s="1"/>
  <c r="H55" i="9" a="1"/>
  <c r="H55" i="9" s="1"/>
  <c r="F62" i="9" a="1"/>
  <c r="F62" i="9" s="1"/>
  <c r="H59" i="9" a="1"/>
  <c r="H59" i="9" s="1"/>
  <c r="G61" i="9" a="1"/>
  <c r="G61" i="9" s="1"/>
  <c r="H56" i="9" a="1"/>
  <c r="H56" i="9" s="1"/>
  <c r="O56" i="9" a="1"/>
  <c r="O56" i="9" s="1"/>
  <c r="K56" i="9" a="1"/>
  <c r="K56" i="9" s="1"/>
  <c r="J55" i="9" a="1"/>
  <c r="J55" i="9" s="1"/>
  <c r="I58" i="9" a="1"/>
  <c r="I58" i="9" s="1"/>
  <c r="H57" i="9" a="1"/>
  <c r="H57" i="9" s="1"/>
  <c r="I60" i="9" a="1"/>
  <c r="I60" i="9" s="1"/>
  <c r="O62" i="9" a="1"/>
  <c r="O62" i="9" s="1"/>
  <c r="O54" i="9" a="1"/>
  <c r="O54" i="9" s="1"/>
  <c r="K62" i="9" a="1"/>
  <c r="K62" i="9" s="1"/>
  <c r="F60" i="9" a="1"/>
  <c r="F60" i="9" s="1"/>
  <c r="G52" i="9" a="1"/>
  <c r="G52" i="9" s="1"/>
  <c r="L56" i="9" a="1"/>
  <c r="L56" i="9" s="1"/>
  <c r="F52" i="9" a="1"/>
  <c r="F52" i="9" s="1"/>
  <c r="E56" i="9" a="1"/>
  <c r="E56" i="9" s="1"/>
  <c r="J6" i="9" a="1"/>
  <c r="J6" i="9" s="1"/>
  <c r="G33" i="9"/>
  <c r="P65" i="9" a="1"/>
  <c r="P65" i="9" s="1"/>
  <c r="I56" i="9" a="1"/>
  <c r="I56" i="9" s="1"/>
  <c r="L61" i="9" a="1"/>
  <c r="L61" i="9" s="1"/>
  <c r="N52" i="9" a="1"/>
  <c r="N52" i="9" s="1"/>
  <c r="N63" i="9" s="1"/>
  <c r="K59" i="9" a="1"/>
  <c r="K59" i="9" s="1"/>
  <c r="C58" i="9" a="1"/>
  <c r="C58" i="9" s="1"/>
  <c r="D59" i="9" a="1"/>
  <c r="D59" i="9" s="1"/>
  <c r="D61" i="9" a="1"/>
  <c r="D61" i="9" s="1"/>
  <c r="D58" i="9" a="1"/>
  <c r="D58" i="9" s="1"/>
  <c r="C59" i="9" a="1"/>
  <c r="C59" i="9" s="1"/>
  <c r="H52" i="9" a="1"/>
  <c r="H52" i="9" s="1"/>
  <c r="H63" i="9" s="1"/>
  <c r="G53" i="9" a="1"/>
  <c r="G53" i="9" s="1"/>
  <c r="C56" i="9" a="1"/>
  <c r="C56" i="9" s="1"/>
  <c r="K52" i="9" a="1"/>
  <c r="K52" i="9" s="1"/>
  <c r="K55" i="9" a="1"/>
  <c r="K55" i="9" s="1"/>
  <c r="L62" i="9" a="1"/>
  <c r="L62" i="9" s="1"/>
  <c r="P62" i="9" s="1"/>
  <c r="O57" i="9" a="1"/>
  <c r="O57" i="9" s="1"/>
  <c r="C60" i="9" a="1"/>
  <c r="C60" i="9" s="1"/>
  <c r="N62" i="9" a="1"/>
  <c r="N62" i="9" s="1"/>
  <c r="C54" i="9" a="1"/>
  <c r="C54" i="9" s="1"/>
  <c r="K58" i="9" a="1"/>
  <c r="K58" i="9" s="1"/>
  <c r="M12" i="8"/>
  <c r="N12" i="8"/>
  <c r="M33" i="8"/>
  <c r="N33" i="8"/>
  <c r="N34" i="8"/>
  <c r="M34" i="8"/>
  <c r="N41" i="8"/>
  <c r="M41" i="8"/>
  <c r="N27" i="8"/>
  <c r="M27" i="8"/>
  <c r="M19" i="8"/>
  <c r="N19" i="8"/>
  <c r="N13" i="8"/>
  <c r="M13" i="8"/>
  <c r="N39" i="8"/>
  <c r="M39" i="8"/>
  <c r="N25" i="8"/>
  <c r="M25" i="8"/>
  <c r="M44" i="8" s="1"/>
  <c r="N42" i="8"/>
  <c r="M42" i="8"/>
  <c r="N20" i="8"/>
  <c r="M20" i="8"/>
  <c r="M32" i="8"/>
  <c r="N32" i="8"/>
  <c r="M26" i="8"/>
  <c r="N26" i="8"/>
  <c r="M40" i="8"/>
  <c r="N40" i="8"/>
  <c r="N18" i="8"/>
  <c r="M18" i="8"/>
  <c r="M11" i="8"/>
  <c r="N11" i="8"/>
  <c r="N44" i="8" s="1"/>
  <c r="N47" i="8" s="1"/>
  <c r="I44" i="8"/>
  <c r="L44" i="8"/>
  <c r="O25" i="6"/>
  <c r="N25" i="6"/>
  <c r="O13" i="6"/>
  <c r="N13" i="6"/>
  <c r="O11" i="6"/>
  <c r="N11" i="6"/>
  <c r="O23" i="6"/>
  <c r="N23" i="6"/>
  <c r="O22" i="6"/>
  <c r="N22" i="6"/>
  <c r="O21" i="6"/>
  <c r="N21" i="6"/>
  <c r="O18" i="6"/>
  <c r="N18" i="6"/>
  <c r="O17" i="6"/>
  <c r="N17" i="6"/>
  <c r="O16" i="6"/>
  <c r="N16" i="6"/>
  <c r="O26" i="6"/>
  <c r="N26" i="6"/>
  <c r="O12" i="6"/>
  <c r="N12" i="6"/>
  <c r="O38" i="6"/>
  <c r="N38" i="6"/>
  <c r="O40" i="6"/>
  <c r="N40" i="6"/>
  <c r="O30" i="6"/>
  <c r="N30" i="6"/>
  <c r="I44" i="6"/>
  <c r="O32" i="6"/>
  <c r="N32" i="6"/>
  <c r="O24" i="6"/>
  <c r="N24" i="6"/>
  <c r="O37" i="6"/>
  <c r="N37" i="6"/>
  <c r="O36" i="6"/>
  <c r="N36" i="6"/>
  <c r="O35" i="6"/>
  <c r="N35" i="6"/>
  <c r="M9" i="6"/>
  <c r="O19" i="6"/>
  <c r="N19" i="6"/>
  <c r="O29" i="6"/>
  <c r="N29" i="6"/>
  <c r="O15" i="6"/>
  <c r="N15" i="6"/>
  <c r="O27" i="6"/>
  <c r="N27" i="6"/>
  <c r="O10" i="6"/>
  <c r="N10" i="6"/>
  <c r="O20" i="6"/>
  <c r="N20" i="6"/>
  <c r="O34" i="6"/>
  <c r="N34" i="6"/>
  <c r="O33" i="6"/>
  <c r="N33" i="6"/>
  <c r="O31" i="6"/>
  <c r="N31" i="6"/>
  <c r="O42" i="6"/>
  <c r="N42" i="6"/>
  <c r="O28" i="6"/>
  <c r="N28" i="6"/>
  <c r="O14" i="6"/>
  <c r="N14" i="6"/>
  <c r="O39" i="6"/>
  <c r="N39" i="6"/>
  <c r="O41" i="6"/>
  <c r="N41" i="6"/>
  <c r="N44" i="5"/>
  <c r="N47" i="5" s="1"/>
  <c r="F58" i="11" l="1"/>
  <c r="F55" i="11"/>
  <c r="F54" i="11"/>
  <c r="F51" i="11"/>
  <c r="C73" i="11"/>
  <c r="F59" i="11"/>
  <c r="D73" i="11"/>
  <c r="F67" i="11"/>
  <c r="E73" i="11"/>
  <c r="M44" i="10"/>
  <c r="N44" i="10"/>
  <c r="N47" i="10" s="1"/>
  <c r="J63" i="9"/>
  <c r="P56" i="9"/>
  <c r="L63" i="9"/>
  <c r="D63" i="9"/>
  <c r="P54" i="9"/>
  <c r="P58" i="9"/>
  <c r="C63" i="9"/>
  <c r="P51" i="9"/>
  <c r="E63" i="9"/>
  <c r="P55" i="9"/>
  <c r="G63" i="9"/>
  <c r="P60" i="9"/>
  <c r="K63" i="9"/>
  <c r="P59" i="9"/>
  <c r="I63" i="9"/>
  <c r="N48" i="8"/>
  <c r="N49" i="8" s="1"/>
  <c r="O41" i="8" s="1"/>
  <c r="P41" i="8" s="1"/>
  <c r="O10" i="8"/>
  <c r="P10" i="8" s="1"/>
  <c r="O42" i="8"/>
  <c r="P42" i="8" s="1"/>
  <c r="O35" i="8"/>
  <c r="P35" i="8" s="1"/>
  <c r="O28" i="8"/>
  <c r="P28" i="8" s="1"/>
  <c r="O17" i="8"/>
  <c r="P17" i="8" s="1"/>
  <c r="O39" i="8"/>
  <c r="P39" i="8" s="1"/>
  <c r="O32" i="8"/>
  <c r="P32" i="8" s="1"/>
  <c r="O11" i="8"/>
  <c r="P11" i="8" s="1"/>
  <c r="J71" i="7" a="1"/>
  <c r="M44" i="6"/>
  <c r="O9" i="6"/>
  <c r="O44" i="6" s="1"/>
  <c r="O47" i="6" s="1"/>
  <c r="N9" i="6"/>
  <c r="N44" i="6" s="1"/>
  <c r="N48" i="5"/>
  <c r="N49" i="5" s="1"/>
  <c r="O41" i="5" s="1"/>
  <c r="O9" i="5"/>
  <c r="L9" i="6" s="1"/>
  <c r="O18" i="5"/>
  <c r="O19" i="5"/>
  <c r="O25" i="5" l="1"/>
  <c r="O30" i="5"/>
  <c r="L30" i="6" s="1"/>
  <c r="C29" i="7" s="1"/>
  <c r="G22" i="7" s="1"/>
  <c r="O37" i="5"/>
  <c r="O15" i="5"/>
  <c r="L15" i="6" s="1"/>
  <c r="C14" i="7" s="1"/>
  <c r="O22" i="5"/>
  <c r="P22" i="5" s="1"/>
  <c r="O42" i="5"/>
  <c r="P19" i="5"/>
  <c r="L19" i="6"/>
  <c r="C18" i="7" s="1"/>
  <c r="P37" i="5"/>
  <c r="L37" i="6"/>
  <c r="C36" i="7" s="1"/>
  <c r="G29" i="7" s="1"/>
  <c r="C8" i="7"/>
  <c r="O29" i="5"/>
  <c r="O36" i="5"/>
  <c r="O26" i="5"/>
  <c r="P18" i="5"/>
  <c r="L18" i="6"/>
  <c r="C17" i="7" s="1"/>
  <c r="G13" i="7" s="1"/>
  <c r="P15" i="5"/>
  <c r="P41" i="5"/>
  <c r="L41" i="6"/>
  <c r="C40" i="7" s="1"/>
  <c r="G30" i="7" s="1"/>
  <c r="O43" i="5"/>
  <c r="O14" i="5"/>
  <c r="P42" i="5"/>
  <c r="L42" i="6"/>
  <c r="C41" i="7" s="1"/>
  <c r="G31" i="7" s="1"/>
  <c r="O21" i="5"/>
  <c r="P25" i="5"/>
  <c r="L25" i="6"/>
  <c r="C24" i="7" s="1"/>
  <c r="G17" i="7" s="1"/>
  <c r="P30" i="5"/>
  <c r="O33" i="5"/>
  <c r="O40" i="5"/>
  <c r="O28" i="5"/>
  <c r="O39" i="5"/>
  <c r="O31" i="5"/>
  <c r="O35" i="5"/>
  <c r="F73" i="11"/>
  <c r="N48" i="10"/>
  <c r="N49" i="10" s="1"/>
  <c r="O41" i="10" s="1"/>
  <c r="P41" i="10" s="1"/>
  <c r="P63" i="9"/>
  <c r="O26" i="8"/>
  <c r="P26" i="8" s="1"/>
  <c r="O43" i="8"/>
  <c r="P43" i="8" s="1"/>
  <c r="O37" i="8"/>
  <c r="P37" i="8" s="1"/>
  <c r="O38" i="8"/>
  <c r="P38" i="8" s="1"/>
  <c r="O25" i="8"/>
  <c r="P25" i="8" s="1"/>
  <c r="O13" i="8"/>
  <c r="P13" i="8" s="1"/>
  <c r="O15" i="8"/>
  <c r="P15" i="8" s="1"/>
  <c r="O19" i="8"/>
  <c r="P19" i="8" s="1"/>
  <c r="O18" i="8"/>
  <c r="P18" i="8" s="1"/>
  <c r="O9" i="8"/>
  <c r="O23" i="8"/>
  <c r="P23" i="8" s="1"/>
  <c r="O22" i="8"/>
  <c r="P22" i="8" s="1"/>
  <c r="O27" i="8"/>
  <c r="P27" i="8" s="1"/>
  <c r="O24" i="8"/>
  <c r="P24" i="8" s="1"/>
  <c r="O29" i="8"/>
  <c r="P29" i="8" s="1"/>
  <c r="O30" i="8"/>
  <c r="P30" i="8" s="1"/>
  <c r="O16" i="8"/>
  <c r="P16" i="8" s="1"/>
  <c r="O33" i="8"/>
  <c r="P33" i="8" s="1"/>
  <c r="O14" i="8"/>
  <c r="P14" i="8" s="1"/>
  <c r="O34" i="8"/>
  <c r="P34" i="8" s="1"/>
  <c r="O31" i="8"/>
  <c r="P31" i="8" s="1"/>
  <c r="O12" i="8"/>
  <c r="P12" i="8" s="1"/>
  <c r="O36" i="8"/>
  <c r="P36" i="8" s="1"/>
  <c r="O20" i="8"/>
  <c r="P20" i="8" s="1"/>
  <c r="O40" i="8"/>
  <c r="P40" i="8" s="1"/>
  <c r="O21" i="8"/>
  <c r="P21" i="8" s="1"/>
  <c r="O48" i="6"/>
  <c r="O49" i="6" s="1"/>
  <c r="P43" i="6"/>
  <c r="Q43" i="6" s="1"/>
  <c r="S43" i="6" s="1"/>
  <c r="P42" i="6"/>
  <c r="Q42" i="6" s="1"/>
  <c r="S42" i="6" s="1"/>
  <c r="P41" i="6"/>
  <c r="Q41" i="6" s="1"/>
  <c r="S41" i="6" s="1"/>
  <c r="P40" i="6"/>
  <c r="Q40" i="6" s="1"/>
  <c r="S40" i="6" s="1"/>
  <c r="P39" i="6"/>
  <c r="Q39" i="6" s="1"/>
  <c r="S39" i="6" s="1"/>
  <c r="P38" i="6"/>
  <c r="Q38" i="6" s="1"/>
  <c r="S38" i="6" s="1"/>
  <c r="P37" i="6"/>
  <c r="Q37" i="6" s="1"/>
  <c r="S37" i="6" s="1"/>
  <c r="P36" i="6"/>
  <c r="Q36" i="6" s="1"/>
  <c r="S36" i="6" s="1"/>
  <c r="P35" i="6"/>
  <c r="Q35" i="6" s="1"/>
  <c r="S35" i="6" s="1"/>
  <c r="P34" i="6"/>
  <c r="Q34" i="6" s="1"/>
  <c r="S34" i="6" s="1"/>
  <c r="P33" i="6"/>
  <c r="Q33" i="6" s="1"/>
  <c r="S33" i="6" s="1"/>
  <c r="P32" i="6"/>
  <c r="Q32" i="6" s="1"/>
  <c r="S32" i="6" s="1"/>
  <c r="P31" i="6"/>
  <c r="Q31" i="6" s="1"/>
  <c r="S31" i="6" s="1"/>
  <c r="P30" i="6"/>
  <c r="Q30" i="6" s="1"/>
  <c r="S30" i="6" s="1"/>
  <c r="P29" i="6"/>
  <c r="Q29" i="6" s="1"/>
  <c r="S29" i="6" s="1"/>
  <c r="P28" i="6"/>
  <c r="Q28" i="6" s="1"/>
  <c r="S28" i="6" s="1"/>
  <c r="P27" i="6"/>
  <c r="Q27" i="6" s="1"/>
  <c r="S27" i="6" s="1"/>
  <c r="P26" i="6"/>
  <c r="Q26" i="6" s="1"/>
  <c r="S26" i="6" s="1"/>
  <c r="P25" i="6"/>
  <c r="Q25" i="6" s="1"/>
  <c r="S25" i="6" s="1"/>
  <c r="P24" i="6"/>
  <c r="Q24" i="6" s="1"/>
  <c r="S24" i="6" s="1"/>
  <c r="P23" i="6"/>
  <c r="Q23" i="6" s="1"/>
  <c r="S23" i="6" s="1"/>
  <c r="P22" i="6"/>
  <c r="Q22" i="6" s="1"/>
  <c r="S22" i="6" s="1"/>
  <c r="P21" i="6"/>
  <c r="Q21" i="6" s="1"/>
  <c r="S21" i="6" s="1"/>
  <c r="P20" i="6"/>
  <c r="Q20" i="6" s="1"/>
  <c r="S20" i="6" s="1"/>
  <c r="P19" i="6"/>
  <c r="Q19" i="6" s="1"/>
  <c r="S19" i="6" s="1"/>
  <c r="P18" i="6"/>
  <c r="Q18" i="6" s="1"/>
  <c r="S18" i="6" s="1"/>
  <c r="P17" i="6"/>
  <c r="Q17" i="6" s="1"/>
  <c r="S17" i="6" s="1"/>
  <c r="P16" i="6"/>
  <c r="Q16" i="6" s="1"/>
  <c r="S16" i="6" s="1"/>
  <c r="P15" i="6"/>
  <c r="Q15" i="6" s="1"/>
  <c r="S15" i="6" s="1"/>
  <c r="P14" i="6"/>
  <c r="Q14" i="6" s="1"/>
  <c r="S14" i="6" s="1"/>
  <c r="P13" i="6"/>
  <c r="Q13" i="6" s="1"/>
  <c r="S13" i="6" s="1"/>
  <c r="P12" i="6"/>
  <c r="Q12" i="6" s="1"/>
  <c r="S12" i="6" s="1"/>
  <c r="P11" i="6"/>
  <c r="Q11" i="6" s="1"/>
  <c r="S11" i="6" s="1"/>
  <c r="P10" i="6"/>
  <c r="Q10" i="6" s="1"/>
  <c r="S10" i="6" s="1"/>
  <c r="P9" i="6"/>
  <c r="P9" i="5"/>
  <c r="O12" i="5"/>
  <c r="O13" i="5"/>
  <c r="O32" i="5"/>
  <c r="O11" i="5"/>
  <c r="O20" i="5"/>
  <c r="O10" i="5"/>
  <c r="O24" i="5"/>
  <c r="O27" i="5"/>
  <c r="O17" i="5"/>
  <c r="O38" i="5"/>
  <c r="O34" i="5"/>
  <c r="O23" i="5"/>
  <c r="O16" i="5"/>
  <c r="L22" i="6" l="1"/>
  <c r="C21" i="7" s="1"/>
  <c r="G14" i="7" s="1"/>
  <c r="P27" i="5"/>
  <c r="L27" i="6"/>
  <c r="C26" i="7" s="1"/>
  <c r="G19" i="7" s="1"/>
  <c r="P33" i="5"/>
  <c r="L33" i="6"/>
  <c r="C32" i="7" s="1"/>
  <c r="G25" i="7" s="1"/>
  <c r="P11" i="5"/>
  <c r="L11" i="6"/>
  <c r="C10" i="7" s="1"/>
  <c r="G10" i="7" s="1"/>
  <c r="P13" i="5"/>
  <c r="L13" i="6"/>
  <c r="C12" i="7" s="1"/>
  <c r="P21" i="5"/>
  <c r="L21" i="6"/>
  <c r="C20" i="7" s="1"/>
  <c r="P12" i="5"/>
  <c r="L12" i="6"/>
  <c r="C11" i="7" s="1"/>
  <c r="G11" i="7" s="1"/>
  <c r="P29" i="5"/>
  <c r="L29" i="6"/>
  <c r="C28" i="7" s="1"/>
  <c r="G21" i="7" s="1"/>
  <c r="P36" i="5"/>
  <c r="L36" i="6"/>
  <c r="C35" i="7" s="1"/>
  <c r="G28" i="7" s="1"/>
  <c r="P16" i="5"/>
  <c r="L16" i="6"/>
  <c r="C15" i="7" s="1"/>
  <c r="P35" i="5"/>
  <c r="L35" i="6"/>
  <c r="C34" i="7" s="1"/>
  <c r="G27" i="7" s="1"/>
  <c r="P14" i="5"/>
  <c r="L14" i="6"/>
  <c r="C13" i="7" s="1"/>
  <c r="G8" i="7"/>
  <c r="P43" i="5"/>
  <c r="L43" i="6"/>
  <c r="C42" i="7" s="1"/>
  <c r="G32" i="7" s="1"/>
  <c r="P39" i="5"/>
  <c r="L39" i="6"/>
  <c r="C38" i="7" s="1"/>
  <c r="P24" i="5"/>
  <c r="L24" i="6"/>
  <c r="C23" i="7" s="1"/>
  <c r="G16" i="7" s="1"/>
  <c r="P32" i="5"/>
  <c r="L32" i="6"/>
  <c r="C31" i="7" s="1"/>
  <c r="G24" i="7" s="1"/>
  <c r="P23" i="5"/>
  <c r="L23" i="6"/>
  <c r="C22" i="7" s="1"/>
  <c r="G15" i="7" s="1"/>
  <c r="P38" i="5"/>
  <c r="L38" i="6"/>
  <c r="C37" i="7" s="1"/>
  <c r="P40" i="5"/>
  <c r="L40" i="6"/>
  <c r="C39" i="7" s="1"/>
  <c r="P10" i="5"/>
  <c r="L10" i="6"/>
  <c r="P20" i="5"/>
  <c r="L20" i="6"/>
  <c r="C19" i="7" s="1"/>
  <c r="P26" i="5"/>
  <c r="L26" i="6"/>
  <c r="C25" i="7" s="1"/>
  <c r="G18" i="7" s="1"/>
  <c r="P31" i="5"/>
  <c r="L31" i="6"/>
  <c r="C30" i="7" s="1"/>
  <c r="G23" i="7" s="1"/>
  <c r="P34" i="5"/>
  <c r="L34" i="6"/>
  <c r="C33" i="7" s="1"/>
  <c r="G26" i="7" s="1"/>
  <c r="P17" i="5"/>
  <c r="L17" i="6"/>
  <c r="C16" i="7" s="1"/>
  <c r="P28" i="5"/>
  <c r="L28" i="6"/>
  <c r="C27" i="7" s="1"/>
  <c r="G20" i="7" s="1"/>
  <c r="F77" i="11"/>
  <c r="F76" i="11"/>
  <c r="O25" i="10"/>
  <c r="P25" i="10" s="1"/>
  <c r="O18" i="10"/>
  <c r="P18" i="10" s="1"/>
  <c r="O16" i="10"/>
  <c r="P16" i="10" s="1"/>
  <c r="O26" i="10"/>
  <c r="P26" i="10" s="1"/>
  <c r="O12" i="10"/>
  <c r="P12" i="10" s="1"/>
  <c r="O33" i="10"/>
  <c r="P33" i="10" s="1"/>
  <c r="O9" i="10"/>
  <c r="O11" i="10"/>
  <c r="P11" i="10" s="1"/>
  <c r="O21" i="10"/>
  <c r="P21" i="10" s="1"/>
  <c r="O17" i="10"/>
  <c r="P17" i="10" s="1"/>
  <c r="O28" i="10"/>
  <c r="P28" i="10" s="1"/>
  <c r="O43" i="10"/>
  <c r="P43" i="10" s="1"/>
  <c r="O24" i="10"/>
  <c r="P24" i="10" s="1"/>
  <c r="O35" i="10"/>
  <c r="P35" i="10" s="1"/>
  <c r="O13" i="10"/>
  <c r="P13" i="10" s="1"/>
  <c r="O20" i="10"/>
  <c r="P20" i="10" s="1"/>
  <c r="O32" i="10"/>
  <c r="P32" i="10" s="1"/>
  <c r="O37" i="10"/>
  <c r="P37" i="10" s="1"/>
  <c r="O14" i="10"/>
  <c r="P14" i="10" s="1"/>
  <c r="O39" i="10"/>
  <c r="P39" i="10" s="1"/>
  <c r="O31" i="10"/>
  <c r="P31" i="10" s="1"/>
  <c r="O42" i="10"/>
  <c r="P42" i="10" s="1"/>
  <c r="O38" i="10"/>
  <c r="P38" i="10" s="1"/>
  <c r="O23" i="10"/>
  <c r="P23" i="10" s="1"/>
  <c r="O27" i="10"/>
  <c r="P27" i="10" s="1"/>
  <c r="O40" i="10"/>
  <c r="P40" i="10" s="1"/>
  <c r="O34" i="10"/>
  <c r="P34" i="10" s="1"/>
  <c r="O19" i="10"/>
  <c r="P19" i="10" s="1"/>
  <c r="O15" i="10"/>
  <c r="P15" i="10" s="1"/>
  <c r="O22" i="10"/>
  <c r="P22" i="10" s="1"/>
  <c r="O36" i="10"/>
  <c r="P36" i="10" s="1"/>
  <c r="O30" i="10"/>
  <c r="P30" i="10" s="1"/>
  <c r="O10" i="10"/>
  <c r="P10" i="10" s="1"/>
  <c r="O29" i="10"/>
  <c r="P29" i="10" s="1"/>
  <c r="P67" i="9"/>
  <c r="P66" i="9"/>
  <c r="O44" i="8"/>
  <c r="P9" i="8"/>
  <c r="P44" i="8" s="1"/>
  <c r="P44" i="6"/>
  <c r="Q9" i="6"/>
  <c r="O44" i="5"/>
  <c r="P44" i="5" l="1"/>
  <c r="G12" i="7"/>
  <c r="C9" i="7"/>
  <c r="L44" i="6"/>
  <c r="O44" i="10"/>
  <c r="P9" i="10"/>
  <c r="P44" i="10" s="1"/>
  <c r="Q44" i="6"/>
  <c r="S9" i="6"/>
  <c r="S44" i="6" s="1"/>
  <c r="G9" i="7" l="1"/>
  <c r="C43" i="7"/>
  <c r="H59" i="7" l="1" a="1"/>
  <c r="H59" i="7" s="1"/>
  <c r="J6" i="7" a="1"/>
  <c r="J6" i="7" s="1"/>
  <c r="I68" i="7" a="1"/>
  <c r="I68" i="7" s="1"/>
  <c r="F53" i="7" a="1"/>
  <c r="F53" i="7" s="1"/>
  <c r="G33" i="7"/>
  <c r="D55" i="7" s="1" a="1"/>
  <c r="D55" i="7" s="1"/>
  <c r="F68" i="7" a="1"/>
  <c r="F68" i="7" s="1"/>
  <c r="G55" i="7" a="1"/>
  <c r="G55" i="7" s="1"/>
  <c r="D56" i="7" a="1"/>
  <c r="D56" i="7" s="1"/>
  <c r="E60" i="7" a="1"/>
  <c r="E60" i="7" s="1"/>
  <c r="E64" i="7" a="1"/>
  <c r="E64" i="7" s="1"/>
  <c r="E68" i="7" a="1"/>
  <c r="E68" i="7" s="1"/>
  <c r="F59" i="7" a="1"/>
  <c r="F59" i="7" s="1"/>
  <c r="G67" i="7" a="1"/>
  <c r="G67" i="7" s="1"/>
  <c r="D68" i="7" a="1"/>
  <c r="D68" i="7" s="1"/>
  <c r="I62" i="7" a="1"/>
  <c r="I62" i="7" s="1"/>
  <c r="H57" i="7" a="1"/>
  <c r="H57" i="7" s="1"/>
  <c r="F57" i="7" a="1"/>
  <c r="F57" i="7" s="1"/>
  <c r="C57" i="7" a="1"/>
  <c r="C57" i="7" s="1"/>
  <c r="D58" i="7" a="1"/>
  <c r="D58" i="7" s="1"/>
  <c r="F67" i="7" a="1"/>
  <c r="F67" i="7" s="1"/>
  <c r="F64" i="7" a="1"/>
  <c r="F64" i="7" s="1"/>
  <c r="G62" i="7" a="1"/>
  <c r="G62" i="7" s="1"/>
  <c r="H54" i="7" a="1"/>
  <c r="H54" i="7" s="1"/>
  <c r="I54" i="7" a="1"/>
  <c r="I54" i="7" s="1"/>
  <c r="F58" i="7" a="1"/>
  <c r="F58" i="7" s="1"/>
  <c r="C52" i="7" a="1"/>
  <c r="C52" i="7" s="1"/>
  <c r="H64" i="7" a="1"/>
  <c r="H64" i="7" s="1"/>
  <c r="G68" i="7" a="1"/>
  <c r="G68" i="7" s="1"/>
  <c r="C62" i="7" a="1"/>
  <c r="C62" i="7" s="1"/>
  <c r="E61" i="7" a="1"/>
  <c r="E61" i="7" s="1"/>
  <c r="E51" i="7" a="1"/>
  <c r="E51" i="7" s="1"/>
  <c r="G56" i="7" a="1"/>
  <c r="G56" i="7" s="1"/>
  <c r="I58" i="7" a="1"/>
  <c r="I58" i="7" s="1"/>
  <c r="G59" i="7" a="1"/>
  <c r="G59" i="7" s="1"/>
  <c r="E62" i="7" a="1"/>
  <c r="E62" i="7" s="1"/>
  <c r="H60" i="7" a="1"/>
  <c r="H60" i="7" s="1"/>
  <c r="D65" i="7" a="1"/>
  <c r="D65" i="7" s="1"/>
  <c r="I51" i="7" a="1"/>
  <c r="I51" i="7" s="1"/>
  <c r="I65" i="7" a="1"/>
  <c r="I65" i="7" s="1"/>
  <c r="D63" i="7" a="1"/>
  <c r="D63" i="7" s="1"/>
  <c r="I56" i="7" a="1"/>
  <c r="I56" i="7" s="1"/>
  <c r="C58" i="7" a="1"/>
  <c r="C58" i="7" s="1"/>
  <c r="C55" i="7" a="1"/>
  <c r="C55" i="7" s="1"/>
  <c r="E63" i="7" a="1"/>
  <c r="E63" i="7" s="1"/>
  <c r="H61" i="7" a="1"/>
  <c r="H61" i="7" s="1"/>
  <c r="E54" i="7" a="1"/>
  <c r="E54" i="7" s="1"/>
  <c r="G53" i="7" a="1"/>
  <c r="G53" i="7" s="1"/>
  <c r="H65" i="7" a="1"/>
  <c r="H65" i="7" s="1"/>
  <c r="D54" i="7" a="1"/>
  <c r="D54" i="7" s="1"/>
  <c r="I52" i="7" a="1"/>
  <c r="I52" i="7" s="1"/>
  <c r="C61" i="7" a="1"/>
  <c r="C61" i="7" s="1"/>
  <c r="F63" i="7" a="1"/>
  <c r="F63" i="7" s="1"/>
  <c r="G57" i="7" a="1"/>
  <c r="G57" i="7" s="1"/>
  <c r="F52" i="7" a="1"/>
  <c r="F52" i="7" s="1"/>
  <c r="G51" i="7" a="1"/>
  <c r="G51" i="7" s="1"/>
  <c r="C59" i="7" l="1" a="1"/>
  <c r="C59" i="7" s="1"/>
  <c r="C64" i="7" a="1"/>
  <c r="C64" i="7" s="1"/>
  <c r="D57" i="7" a="1"/>
  <c r="D57" i="7" s="1"/>
  <c r="F62" i="7" a="1"/>
  <c r="F62" i="7" s="1"/>
  <c r="G63" i="7" a="1"/>
  <c r="G63" i="7" s="1"/>
  <c r="I64" i="7" a="1"/>
  <c r="I64" i="7" s="1"/>
  <c r="H51" i="7" a="1"/>
  <c r="H51" i="7" s="1"/>
  <c r="F61" i="7" a="1"/>
  <c r="F61" i="7" s="1"/>
  <c r="E53" i="7" a="1"/>
  <c r="E53" i="7" s="1"/>
  <c r="G60" i="7" a="1"/>
  <c r="G60" i="7" s="1"/>
  <c r="I67" i="7" a="1"/>
  <c r="I67" i="7" s="1"/>
  <c r="F51" i="7" a="1"/>
  <c r="F51" i="7" s="1"/>
  <c r="C51" i="7" a="1"/>
  <c r="C51" i="7" s="1"/>
  <c r="J51" i="7" s="1"/>
  <c r="C68" i="7" a="1"/>
  <c r="C68" i="7" s="1"/>
  <c r="C65" i="7" a="1"/>
  <c r="C65" i="7" s="1"/>
  <c r="H56" i="7" a="1"/>
  <c r="H56" i="7" s="1"/>
  <c r="H66" i="7" a="1"/>
  <c r="H66" i="7" s="1"/>
  <c r="G52" i="7" a="1"/>
  <c r="G52" i="7" s="1"/>
  <c r="E66" i="7" a="1"/>
  <c r="E66" i="7" s="1"/>
  <c r="C60" i="7" a="1"/>
  <c r="C60" i="7" s="1"/>
  <c r="E55" i="7" a="1"/>
  <c r="E55" i="7" s="1"/>
  <c r="D53" i="7" a="1"/>
  <c r="D53" i="7" s="1"/>
  <c r="E59" i="7" a="1"/>
  <c r="E59" i="7" s="1"/>
  <c r="E52" i="7" a="1"/>
  <c r="E52" i="7" s="1"/>
  <c r="D61" i="7" a="1"/>
  <c r="D61" i="7" s="1"/>
  <c r="E57" i="7" a="1"/>
  <c r="E57" i="7" s="1"/>
  <c r="H53" i="7" a="1"/>
  <c r="H53" i="7" s="1"/>
  <c r="F65" i="7" a="1"/>
  <c r="F65" i="7" s="1"/>
  <c r="H62" i="7" a="1"/>
  <c r="H62" i="7" s="1"/>
  <c r="G54" i="7" a="1"/>
  <c r="G54" i="7" s="1"/>
  <c r="I66" i="7" a="1"/>
  <c r="I66" i="7" s="1"/>
  <c r="D66" i="7" a="1"/>
  <c r="D66" i="7" s="1"/>
  <c r="D64" i="7" a="1"/>
  <c r="D64" i="7" s="1"/>
  <c r="J64" i="7" s="1"/>
  <c r="E56" i="7" a="1"/>
  <c r="E56" i="7" s="1"/>
  <c r="C66" i="7" a="1"/>
  <c r="C66" i="7" s="1"/>
  <c r="J62" i="7"/>
  <c r="I55" i="7" a="1"/>
  <c r="I55" i="7" s="1"/>
  <c r="F66" i="7" a="1"/>
  <c r="F66" i="7" s="1"/>
  <c r="J71" i="7"/>
  <c r="E58" i="7" a="1"/>
  <c r="E58" i="7" s="1"/>
  <c r="I63" i="7" a="1"/>
  <c r="I63" i="7" s="1"/>
  <c r="C54" i="7" a="1"/>
  <c r="C54" i="7" s="1"/>
  <c r="D67" i="7" a="1"/>
  <c r="D67" i="7" s="1"/>
  <c r="C53" i="7" a="1"/>
  <c r="C53" i="7" s="1"/>
  <c r="G65" i="7" a="1"/>
  <c r="G65" i="7" s="1"/>
  <c r="C56" i="7" a="1"/>
  <c r="C56" i="7" s="1"/>
  <c r="I61" i="7" a="1"/>
  <c r="I61" i="7" s="1"/>
  <c r="H67" i="7" a="1"/>
  <c r="H67" i="7" s="1"/>
  <c r="G58" i="7" a="1"/>
  <c r="G58" i="7" s="1"/>
  <c r="E67" i="7" a="1"/>
  <c r="E67" i="7" s="1"/>
  <c r="H55" i="7" a="1"/>
  <c r="H55" i="7" s="1"/>
  <c r="D51" i="7" a="1"/>
  <c r="D51" i="7" s="1"/>
  <c r="G66" i="7" a="1"/>
  <c r="G66" i="7" s="1"/>
  <c r="I60" i="7" a="1"/>
  <c r="I60" i="7" s="1"/>
  <c r="G64" i="7" a="1"/>
  <c r="G64" i="7" s="1"/>
  <c r="D52" i="7" a="1"/>
  <c r="D52" i="7" s="1"/>
  <c r="F55" i="7" a="1"/>
  <c r="F55" i="7" s="1"/>
  <c r="F54" i="7" a="1"/>
  <c r="F54" i="7" s="1"/>
  <c r="I59" i="7" a="1"/>
  <c r="I59" i="7" s="1"/>
  <c r="C67" i="7" a="1"/>
  <c r="C67" i="7" s="1"/>
  <c r="E65" i="7" a="1"/>
  <c r="E65" i="7" s="1"/>
  <c r="J65" i="7" s="1"/>
  <c r="H58" i="7" a="1"/>
  <c r="H58" i="7" s="1"/>
  <c r="H63" i="7" a="1"/>
  <c r="H63" i="7" s="1"/>
  <c r="F56" i="7" a="1"/>
  <c r="F56" i="7" s="1"/>
  <c r="J56" i="7" s="1"/>
  <c r="G61" i="7" a="1"/>
  <c r="G61" i="7" s="1"/>
  <c r="J61" i="7" s="1"/>
  <c r="I57" i="7" a="1"/>
  <c r="I57" i="7" s="1"/>
  <c r="J57" i="7" s="1"/>
  <c r="D59" i="7" a="1"/>
  <c r="D59" i="7" s="1"/>
  <c r="D60" i="7" a="1"/>
  <c r="D60" i="7" s="1"/>
  <c r="F60" i="7" a="1"/>
  <c r="F60" i="7" s="1"/>
  <c r="H52" i="7" a="1"/>
  <c r="H52" i="7" s="1"/>
  <c r="D62" i="7" a="1"/>
  <c r="D62" i="7" s="1"/>
  <c r="H68" i="7" a="1"/>
  <c r="H68" i="7" s="1"/>
  <c r="C63" i="7" a="1"/>
  <c r="C63" i="7" s="1"/>
  <c r="I53" i="7" a="1"/>
  <c r="I53" i="7" s="1"/>
  <c r="J67" i="7" l="1"/>
  <c r="E69" i="7"/>
  <c r="I69" i="7"/>
  <c r="J59" i="7"/>
  <c r="J58" i="7"/>
  <c r="C69" i="7"/>
  <c r="F69" i="7"/>
  <c r="H69" i="7"/>
  <c r="J55" i="7"/>
  <c r="J53" i="7"/>
  <c r="J68" i="7"/>
  <c r="J60" i="7"/>
  <c r="J66" i="7"/>
  <c r="J63" i="7"/>
  <c r="J54" i="7"/>
  <c r="G69" i="7"/>
  <c r="J52" i="7"/>
  <c r="D69" i="7"/>
  <c r="J69" i="7" l="1"/>
  <c r="J72" i="7" s="1"/>
  <c r="J73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<sst xmlns="http://schemas.openxmlformats.org/spreadsheetml/2006/main" count="972" uniqueCount="98">
  <si>
    <t>Mes (Fecha de emisión de factura)</t>
  </si>
  <si>
    <t>Versión</t>
  </si>
  <si>
    <t>pre</t>
  </si>
  <si>
    <t>N°</t>
  </si>
  <si>
    <t>Clave</t>
  </si>
  <si>
    <t>Libro DP</t>
  </si>
  <si>
    <t>Distribuidora o Cooperativa</t>
  </si>
  <si>
    <t>EFACTAT</t>
  </si>
  <si>
    <t xml:space="preserve">EFACTBT </t>
  </si>
  <si>
    <t>EINYAT</t>
  </si>
  <si>
    <t>EINYBT</t>
  </si>
  <si>
    <t>MFAR</t>
  </si>
  <si>
    <t>[kWh]</t>
  </si>
  <si>
    <t>[$]</t>
  </si>
  <si>
    <t>CEC</t>
  </si>
  <si>
    <t>COELCHA</t>
  </si>
  <si>
    <t>EEC</t>
  </si>
  <si>
    <t>EMELCA</t>
  </si>
  <si>
    <t>CGED</t>
  </si>
  <si>
    <t>ELECDA SIC</t>
  </si>
  <si>
    <t>ELECDA</t>
  </si>
  <si>
    <t>EMELAT</t>
  </si>
  <si>
    <t>EMELECTRIC</t>
  </si>
  <si>
    <t>EMETAL</t>
  </si>
  <si>
    <t>ENEL DISTRIBUCIÓN</t>
  </si>
  <si>
    <t>LUZ ANDES</t>
  </si>
  <si>
    <t>CONAFE A</t>
  </si>
  <si>
    <t>CONAFE B</t>
  </si>
  <si>
    <t>ENELSA</t>
  </si>
  <si>
    <t>CRELL</t>
  </si>
  <si>
    <t>COPELEC</t>
  </si>
  <si>
    <t>EEPA</t>
  </si>
  <si>
    <t>COOPREL</t>
  </si>
  <si>
    <t>SOCOEPA</t>
  </si>
  <si>
    <t>COOPELAN</t>
  </si>
  <si>
    <t>FRONTEL</t>
  </si>
  <si>
    <t>LUZ OSORNO</t>
  </si>
  <si>
    <t>SAESA</t>
  </si>
  <si>
    <t>CODINER</t>
  </si>
  <si>
    <t>CHILQUINTA</t>
  </si>
  <si>
    <t>EDECSA</t>
  </si>
  <si>
    <t>LITORAL</t>
  </si>
  <si>
    <t>LUZLINARES</t>
  </si>
  <si>
    <t>LUZPARRAL</t>
  </si>
  <si>
    <t>TIL TIL</t>
  </si>
  <si>
    <t>TIL-TIL</t>
  </si>
  <si>
    <t>EMELARI</t>
  </si>
  <si>
    <t>ELIQSA</t>
  </si>
  <si>
    <t>ELECDA SING</t>
  </si>
  <si>
    <t>COOPERSOL</t>
  </si>
  <si>
    <t>DESA</t>
  </si>
  <si>
    <t>MATAQUITO</t>
  </si>
  <si>
    <t>Total</t>
  </si>
  <si>
    <t>VTD</t>
  </si>
  <si>
    <t>MFCD RGL</t>
  </si>
  <si>
    <t>MF7TRAN</t>
  </si>
  <si>
    <t>Montos Recaudados TD</t>
  </si>
  <si>
    <t>Variación IPC %</t>
  </si>
  <si>
    <t>Saldo + IPC</t>
  </si>
  <si>
    <t>Ajuste de saldo</t>
  </si>
  <si>
    <t>Ajuste de saldo + IPC</t>
  </si>
  <si>
    <t>VTD +Ajuste</t>
  </si>
  <si>
    <t>VTD Negativo</t>
  </si>
  <si>
    <t>VTD Positivo</t>
  </si>
  <si>
    <t>Monto a Transferir x empresa</t>
  </si>
  <si>
    <t>Saldo</t>
  </si>
  <si>
    <t>TOTAL</t>
  </si>
  <si>
    <t>Total VTD Positivo</t>
  </si>
  <si>
    <t>Total VTD Negativo</t>
  </si>
  <si>
    <t>Monto Final</t>
  </si>
  <si>
    <t>Montos Recaudados AR</t>
  </si>
  <si>
    <t>VA</t>
  </si>
  <si>
    <t>VR</t>
  </si>
  <si>
    <t>Diferencias en saldos</t>
  </si>
  <si>
    <t>Saldo final</t>
  </si>
  <si>
    <t>VTRS</t>
  </si>
  <si>
    <t>VTAS</t>
  </si>
  <si>
    <t>Montos a Transferir por Reliquidación de Ajustes y Recargos entre empresas concesionarias</t>
  </si>
  <si>
    <t>Montos a Transferir x empresa</t>
  </si>
  <si>
    <t>Diferencias en cuadros de pagos</t>
  </si>
  <si>
    <t>Montos a Transferir agrupado</t>
  </si>
  <si>
    <t>Montos a Transferir</t>
  </si>
  <si>
    <t>CGE</t>
  </si>
  <si>
    <t>ENEL DISTRIBUCION</t>
  </si>
  <si>
    <t>Cuadro de Pagos</t>
  </si>
  <si>
    <t>Pagan (montos en $)</t>
  </si>
  <si>
    <t>Reciben (montos en $)</t>
  </si>
  <si>
    <t>Montos Recaudados CD RGL</t>
  </si>
  <si>
    <t>MFCDRGL</t>
  </si>
  <si>
    <t>VD</t>
  </si>
  <si>
    <t>VC</t>
  </si>
  <si>
    <t>VTCS</t>
  </si>
  <si>
    <t>VTDS</t>
  </si>
  <si>
    <t>Montos a Transferir por Reliquidación de Cargo y Descuento por Reconocimiento de Generación Local entre empresas concesionarias</t>
  </si>
  <si>
    <t xml:space="preserve"> </t>
  </si>
  <si>
    <t>Montos Recaudados 7TRAN</t>
  </si>
  <si>
    <t>Montos a transferir por descuento en comunas reconocidas como zonas en transición (7° Transitorio)</t>
  </si>
  <si>
    <t>resumen_montos_facturados_TD_AR_CDpRGL_2505pre.xlsx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</si>
</sst>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#,##0_ ;[Red]\-#,##0\ "/>
    <numFmt numFmtId="165" formatCode="_-* #,##0_-;\-* #,##0_-;_-* &quot;-&quot;_-;_-@_-"/>
    <numFmt numFmtId="166" formatCode="mmmm\ yyyy"/>
    <numFmt numFmtId="167" formatCode="0.0000%"/>
    <numFmt numFmtId="168" formatCode="0.00000%"/>
  </numFmts>
  <fonts count="11" x14ac:knownFonts="1">
    <font>
      <sz val="10"/>
      <name val="Calibri"/>
      <family val="2"/>
    </font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indexed="12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b/>
      <sz val="10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8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3" fillId="0" borderId="0" xfId="0" applyFont="1" applyAlignment="1">
      <alignment horizontal="left" vertical="center"/>
    </xf>
    <xf numFmtId="15" fontId="4" fillId="0" borderId="1" xfId="0" applyNumberFormat="1" applyFont="1" applyBorder="1" applyAlignment="1">
      <alignment vertical="center"/>
    </xf>
    <xf numFmtId="15" fontId="5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7" fillId="0" borderId="1" xfId="0" applyNumberFormat="1" applyFont="1" applyBorder="1"/>
    <xf numFmtId="164" fontId="0" fillId="0" borderId="0" xfId="0" applyNumberFormat="1"/>
    <xf numFmtId="9" fontId="0" fillId="0" borderId="0" xfId="3" applyFont="1"/>
    <xf numFmtId="0" fontId="6" fillId="0" borderId="4" xfId="0" applyFont="1" applyBorder="1"/>
    <xf numFmtId="0" fontId="0" fillId="0" borderId="2" xfId="0" applyBorder="1"/>
    <xf numFmtId="0" fontId="0" fillId="0" borderId="3" xfId="0" applyBorder="1"/>
    <xf numFmtId="164" fontId="9" fillId="0" borderId="1" xfId="0" applyNumberFormat="1" applyFont="1" applyBorder="1"/>
    <xf numFmtId="3" fontId="0" fillId="0" borderId="0" xfId="0" applyNumberFormat="1"/>
    <xf numFmtId="165" fontId="0" fillId="0" borderId="0" xfId="1" applyFont="1"/>
    <xf numFmtId="0" fontId="6" fillId="0" borderId="0" xfId="0" applyFont="1"/>
    <xf numFmtId="0" fontId="2" fillId="0" borderId="0" xfId="0" applyFont="1"/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7" fontId="0" fillId="0" borderId="1" xfId="0" applyNumberFormat="1" applyBorder="1"/>
    <xf numFmtId="167" fontId="0" fillId="0" borderId="0" xfId="0" applyNumberFormat="1"/>
    <xf numFmtId="168" fontId="0" fillId="0" borderId="0" xfId="3" applyNumberFormat="1" applyFont="1" applyFill="1"/>
    <xf numFmtId="17" fontId="6" fillId="0" borderId="5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/>
    <xf numFmtId="0" fontId="0" fillId="0" borderId="6" xfId="0" applyBorder="1"/>
    <xf numFmtId="164" fontId="7" fillId="0" borderId="5" xfId="0" applyNumberFormat="1" applyFont="1" applyBorder="1"/>
    <xf numFmtId="0" fontId="0" fillId="0" borderId="10" xfId="0" applyBorder="1"/>
    <xf numFmtId="164" fontId="7" fillId="0" borderId="7" xfId="0" applyNumberFormat="1" applyFont="1" applyBorder="1"/>
    <xf numFmtId="0" fontId="0" fillId="0" borderId="9" xfId="0" applyBorder="1"/>
    <xf numFmtId="164" fontId="7" fillId="0" borderId="8" xfId="0" applyNumberFormat="1" applyFont="1" applyBorder="1"/>
    <xf numFmtId="0" fontId="6" fillId="0" borderId="9" xfId="0" applyFont="1" applyBorder="1" applyAlignment="1">
      <alignment horizontal="left" indent="1"/>
    </xf>
    <xf numFmtId="3" fontId="6" fillId="0" borderId="11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3" borderId="0" xfId="0" applyFill="1"/>
    <xf numFmtId="3" fontId="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3" fontId="2" fillId="0" borderId="0" xfId="0" applyNumberFormat="1" applyFont="1"/>
    <xf numFmtId="165" fontId="2" fillId="0" borderId="0" xfId="1" applyFont="1"/>
    <xf numFmtId="168" fontId="2" fillId="0" borderId="0" xfId="3" applyNumberFormat="1" applyFont="1" applyFill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17" fontId="6" fillId="0" borderId="0" xfId="0" applyNumberFormat="1" applyFont="1" applyAlignment="1">
      <alignment horizontal="left"/>
    </xf>
    <xf numFmtId="17" fontId="6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1" fontId="0" fillId="0" borderId="0" xfId="0" applyNumberFormat="1"/>
    <xf numFmtId="0" fontId="6" fillId="0" borderId="0" xfId="0" applyFont="1" applyAlignment="1">
      <alignment horizontal="left" indent="1"/>
    </xf>
    <xf numFmtId="0" fontId="0" fillId="3" borderId="0" xfId="0" applyFill="1" applyAlignment="1">
      <alignment horizontal="left" indent="1"/>
    </xf>
    <xf numFmtId="3" fontId="0" fillId="0" borderId="0" xfId="0" applyNumberFormat="1" applyAlignment="1">
      <alignment vertical="center"/>
    </xf>
    <xf numFmtId="164" fontId="9" fillId="0" borderId="0" xfId="0" applyNumberFormat="1" applyFont="1"/>
    <xf numFmtId="0" fontId="1" fillId="0" borderId="0" xfId="4"/>
    <xf numFmtId="0" fontId="6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left"/>
    </xf>
    <xf numFmtId="3" fontId="0" fillId="4" borderId="8" xfId="0" applyNumberFormat="1" applyFill="1" applyBorder="1"/>
    <xf numFmtId="3" fontId="0" fillId="0" borderId="1" xfId="0" applyNumberFormat="1" applyBorder="1" applyAlignment="1">
      <alignment vertical="center"/>
    </xf>
    <xf numFmtId="3" fontId="6" fillId="0" borderId="8" xfId="0" applyNumberFormat="1" applyFont="1" applyBorder="1" applyAlignment="1">
      <alignment horizontal="left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42" fontId="2" fillId="0" borderId="0" xfId="2" applyFont="1"/>
    <xf numFmtId="0" fontId="2" fillId="3" borderId="0" xfId="0" applyFont="1" applyFill="1"/>
    <xf numFmtId="0" fontId="6" fillId="3" borderId="0" xfId="0" applyFont="1" applyFill="1" applyAlignment="1">
      <alignment horizontal="left"/>
    </xf>
    <xf numFmtId="166" fontId="6" fillId="3" borderId="0" xfId="0" applyNumberFormat="1" applyFont="1" applyFill="1" applyAlignment="1">
      <alignment horizontal="left"/>
    </xf>
    <xf numFmtId="17" fontId="6" fillId="3" borderId="0" xfId="0" applyNumberFormat="1" applyFont="1" applyFill="1" applyAlignment="1">
      <alignment horizontal="left"/>
    </xf>
    <xf numFmtId="3" fontId="2" fillId="3" borderId="0" xfId="0" applyNumberFormat="1" applyFont="1" applyFill="1" applyAlignment="1">
      <alignment horizontal="center" vertical="center"/>
    </xf>
    <xf numFmtId="0" fontId="0" fillId="3" borderId="6" xfId="0" applyFill="1" applyBorder="1"/>
    <xf numFmtId="164" fontId="7" fillId="3" borderId="5" xfId="0" applyNumberFormat="1" applyFont="1" applyFill="1" applyBorder="1"/>
    <xf numFmtId="165" fontId="2" fillId="3" borderId="0" xfId="1" applyFont="1" applyFill="1" applyBorder="1"/>
    <xf numFmtId="164" fontId="7" fillId="3" borderId="7" xfId="0" applyNumberFormat="1" applyFont="1" applyFill="1" applyBorder="1"/>
    <xf numFmtId="165" fontId="2" fillId="3" borderId="10" xfId="1" applyFont="1" applyFill="1" applyBorder="1"/>
    <xf numFmtId="0" fontId="0" fillId="3" borderId="10" xfId="0" applyFill="1" applyBorder="1"/>
    <xf numFmtId="0" fontId="0" fillId="3" borderId="9" xfId="0" applyFill="1" applyBorder="1"/>
    <xf numFmtId="0" fontId="6" fillId="3" borderId="9" xfId="0" applyFont="1" applyFill="1" applyBorder="1" applyAlignment="1">
      <alignment horizontal="left" indent="1"/>
    </xf>
    <xf numFmtId="164" fontId="9" fillId="3" borderId="1" xfId="0" applyNumberFormat="1" applyFont="1" applyFill="1" applyBorder="1"/>
    <xf numFmtId="3" fontId="2" fillId="3" borderId="0" xfId="0" applyNumberFormat="1" applyFont="1" applyFill="1"/>
    <xf numFmtId="0" fontId="6" fillId="3" borderId="0" xfId="0" applyFont="1" applyFill="1" applyAlignment="1">
      <alignment horizontal="left" indent="1"/>
    </xf>
    <xf numFmtId="3" fontId="0" fillId="3" borderId="0" xfId="0" applyNumberFormat="1" applyFill="1"/>
    <xf numFmtId="164" fontId="7" fillId="3" borderId="8" xfId="0" applyNumberFormat="1" applyFont="1" applyFill="1" applyBorder="1"/>
    <xf numFmtId="165" fontId="2" fillId="3" borderId="0" xfId="1" applyFont="1" applyFill="1"/>
    <xf numFmtId="3" fontId="0" fillId="3" borderId="0" xfId="0" applyNumberFormat="1" applyFill="1" applyAlignment="1">
      <alignment vertical="center"/>
    </xf>
    <xf numFmtId="0" fontId="6" fillId="3" borderId="0" xfId="0" applyFont="1" applyFill="1"/>
    <xf numFmtId="3" fontId="6" fillId="3" borderId="12" xfId="0" applyNumberFormat="1" applyFont="1" applyFill="1" applyBorder="1" applyAlignment="1">
      <alignment horizontal="center" vertical="center"/>
    </xf>
    <xf numFmtId="3" fontId="0" fillId="5" borderId="8" xfId="0" applyNumberFormat="1" applyFill="1" applyBorder="1"/>
    <xf numFmtId="3" fontId="0" fillId="3" borderId="8" xfId="0" applyNumberForma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/>
    <xf numFmtId="3" fontId="6" fillId="3" borderId="0" xfId="0" applyNumberFormat="1" applyFont="1" applyFill="1"/>
    <xf numFmtId="0" fontId="6" fillId="3" borderId="5" xfId="0" applyFont="1" applyFill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6" fillId="3" borderId="8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5" fontId="5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17" fontId="6" fillId="0" borderId="9" xfId="0" applyNumberFormat="1" applyFont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 wrapText="1"/>
    </xf>
    <xf numFmtId="17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6" fillId="0" borderId="7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 wrapText="1"/>
    </xf>
    <xf numFmtId="17" fontId="6" fillId="3" borderId="5" xfId="0" applyNumberFormat="1" applyFont="1" applyFill="1" applyBorder="1" applyAlignment="1">
      <alignment horizontal="center" vertical="center" wrapText="1"/>
    </xf>
    <xf numFmtId="17" fontId="6" fillId="3" borderId="8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/>
    </xf>
  </cellXfs>
  <cellStyles count="5">
    <cellStyle name="Millares [0]" xfId="1" builtinId="6"/>
    <cellStyle name="Moneda [0]" xfId="2" builtinId="7"/>
    <cellStyle name="Normal" xfId="0" builtinId="0"/>
    <cellStyle name="Normal 3" xfId="4" xr:uid="{53A49B5F-65DD-491D-ACF7-909A13A53E9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5D31-C7AE-481E-949A-1B935F43571D}">
  <sheetPr codeName="Hoja8">
    <tabColor theme="0"/>
  </sheetPr>
  <dimension ref="B2:N45"/>
  <sheetViews>
    <sheetView showGridLines="0" zoomScale="85" zoomScaleNormal="85" workbookViewId="0">
      <selection activeCell="K22" sqref="K22"/>
    </sheetView>
  </sheetViews>
  <sheetFormatPr baseColWidth="10" defaultRowHeight="13" x14ac:dyDescent="0.3"/>
  <cols>
    <col min="2" max="2" width="3.3984375" customWidth="1"/>
    <col min="3" max="3" width="16.09765625" customWidth="1"/>
    <col min="4" max="4" width="52.296875" customWidth="1"/>
    <col min="5" max="5" width="16.69921875" customWidth="1"/>
    <col min="6" max="6" width="12.8984375" customWidth="1"/>
    <col min="7" max="7" width="15.8984375" customWidth="1"/>
    <col min="8" max="9" width="13.09765625" customWidth="1"/>
    <col min="10" max="10" width="13.59765625" bestFit="1" customWidth="1"/>
    <col min="11" max="11" width="17.8984375" customWidth="1"/>
    <col min="12" max="12" width="18.3984375" customWidth="1"/>
    <col min="13" max="13" width="13.09765625" customWidth="1"/>
    <col min="14" max="14" width="11.3984375" customWidth="1"/>
    <col min="15" max="15" width="11.8984375" bestFit="1" customWidth="1"/>
    <col min="16" max="16" width="13.296875" customWidth="1"/>
    <col min="17" max="17" width="11.59765625" customWidth="1"/>
    <col min="18" max="18" width="9.69921875" bestFit="1" customWidth="1"/>
    <col min="19" max="19" width="13.296875" bestFit="1" customWidth="1"/>
  </cols>
  <sheetData>
    <row r="2" spans="2:14" x14ac:dyDescent="0.3">
      <c r="B2" s="1" t="s">
        <v>0</v>
      </c>
      <c r="D2" s="1"/>
      <c r="E2" s="100" t="s">
        <v>1</v>
      </c>
      <c r="F2" s="100"/>
      <c r="G2" s="2" t="s">
        <v>2</v>
      </c>
    </row>
    <row r="3" spans="2:14" x14ac:dyDescent="0.3">
      <c r="B3" s="101">
        <v>45778</v>
      </c>
      <c r="C3" s="101"/>
      <c r="D3" s="3"/>
    </row>
    <row r="4" spans="2:14" x14ac:dyDescent="0.3">
      <c r="B4" s="1"/>
    </row>
    <row r="6" spans="2:14" x14ac:dyDescent="0.3">
      <c r="B6" s="102" t="s">
        <v>3</v>
      </c>
      <c r="C6" s="102" t="s">
        <v>4</v>
      </c>
      <c r="D6" s="102" t="s">
        <v>5</v>
      </c>
      <c r="E6" s="102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</row>
    <row r="7" spans="2:14" x14ac:dyDescent="0.3">
      <c r="B7" s="102"/>
      <c r="C7" s="102"/>
      <c r="D7" s="102"/>
      <c r="E7" s="102"/>
      <c r="F7" s="4" t="s">
        <v>12</v>
      </c>
      <c r="G7" s="4" t="s">
        <v>12</v>
      </c>
      <c r="H7" s="4" t="s">
        <v>12</v>
      </c>
      <c r="I7" s="4" t="s">
        <v>12</v>
      </c>
      <c r="J7" s="4" t="s">
        <v>13</v>
      </c>
    </row>
    <row r="8" spans="2:14" x14ac:dyDescent="0.3">
      <c r="B8" s="5">
        <v>1</v>
      </c>
      <c r="C8" s="5" t="s">
        <v>14</v>
      </c>
      <c r="D8" s="6" t="str">
        <f>"resumen_montos_facturados_TD_AR_CDpRGL"&amp;"_"&amp;TEXT($B$3,"yymm")&amp;$G$2&amp;".xlsx"</f>
        <v>resumen_montos_facturados_TD_AR_CDpRGL_2505pre.xlsx</v>
      </c>
      <c r="E8" s="5" t="s">
        <v>14</v>
      </c>
      <c r="F8" s="7">
        <v>2403299.85</v>
      </c>
      <c r="G8" s="7">
        <v>2882503</v>
      </c>
      <c r="H8" s="7">
        <v>225166.5</v>
      </c>
      <c r="I8" s="7">
        <v>43688</v>
      </c>
      <c r="J8" s="7">
        <v>-23183951.075817801</v>
      </c>
      <c r="K8" s="8"/>
      <c r="L8" s="8"/>
      <c r="M8" s="9"/>
      <c r="N8" s="9"/>
    </row>
    <row r="9" spans="2:14" x14ac:dyDescent="0.3">
      <c r="B9" s="5">
        <v>2</v>
      </c>
      <c r="C9" s="5" t="s">
        <v>15</v>
      </c>
      <c r="D9" s="6" t="str">
        <f t="shared" ref="D9:D43" si="0">"resumen_montos_facturados_TD_AR_CDpRGL"&amp;"_"&amp;TEXT($B$3,"yymm")&amp;$G$2&amp;".xlsx"</f>
        <v>resumen_montos_facturados_TD_AR_CDpRGL_2505pre.xlsx</v>
      </c>
      <c r="E9" s="5" t="s">
        <v>15</v>
      </c>
      <c r="F9" s="7">
        <v>833539</v>
      </c>
      <c r="G9" s="7">
        <v>3214581</v>
      </c>
      <c r="H9" s="7">
        <v>985</v>
      </c>
      <c r="I9" s="7">
        <v>47473</v>
      </c>
      <c r="J9" s="7">
        <v>-25955293.696917199</v>
      </c>
      <c r="K9" s="8"/>
      <c r="L9" s="8"/>
      <c r="M9" s="9"/>
      <c r="N9" s="9"/>
    </row>
    <row r="10" spans="2:14" x14ac:dyDescent="0.3">
      <c r="B10" s="5">
        <v>3</v>
      </c>
      <c r="C10" s="5" t="s">
        <v>16</v>
      </c>
      <c r="D10" s="6" t="str">
        <f t="shared" si="0"/>
        <v>resumen_montos_facturados_TD_AR_CDpRGL_2505pre.xlsx</v>
      </c>
      <c r="E10" s="5" t="s">
        <v>16</v>
      </c>
      <c r="F10" s="7">
        <v>3832189.04</v>
      </c>
      <c r="G10" s="7">
        <v>5150569.0470000003</v>
      </c>
      <c r="H10" s="7">
        <v>0</v>
      </c>
      <c r="I10" s="7">
        <v>27648</v>
      </c>
      <c r="J10" s="7">
        <v>727440.04183949006</v>
      </c>
      <c r="K10" s="8"/>
      <c r="L10" s="8"/>
      <c r="M10" s="9"/>
      <c r="N10" s="9"/>
    </row>
    <row r="11" spans="2:14" x14ac:dyDescent="0.3">
      <c r="B11" s="5">
        <v>4</v>
      </c>
      <c r="C11" s="5" t="s">
        <v>17</v>
      </c>
      <c r="D11" s="6" t="str">
        <f t="shared" si="0"/>
        <v>resumen_montos_facturados_TD_AR_CDpRGL_2505pre.xlsx</v>
      </c>
      <c r="E11" s="5" t="s">
        <v>17</v>
      </c>
      <c r="F11" s="7">
        <v>444624</v>
      </c>
      <c r="G11" s="7">
        <v>1319773</v>
      </c>
      <c r="H11" s="7">
        <v>0</v>
      </c>
      <c r="I11" s="7">
        <v>0</v>
      </c>
      <c r="J11" s="7">
        <v>-943120.68813442532</v>
      </c>
      <c r="K11" s="8"/>
      <c r="L11" s="8"/>
      <c r="M11" s="9"/>
      <c r="N11" s="9"/>
    </row>
    <row r="12" spans="2:14" ht="12" customHeight="1" x14ac:dyDescent="0.3">
      <c r="B12" s="5">
        <v>5</v>
      </c>
      <c r="C12" s="5" t="s">
        <v>18</v>
      </c>
      <c r="D12" s="6" t="str">
        <f t="shared" si="0"/>
        <v>resumen_montos_facturados_TD_AR_CDpRGL_2505pre.xlsx</v>
      </c>
      <c r="E12" s="5" t="s">
        <v>18</v>
      </c>
      <c r="F12" s="7">
        <v>135352931.92899999</v>
      </c>
      <c r="G12" s="7">
        <v>461125550.36400002</v>
      </c>
      <c r="H12" s="7">
        <v>5508613.3389999997</v>
      </c>
      <c r="I12" s="7">
        <v>1055476.9820000001</v>
      </c>
      <c r="J12" s="7">
        <v>29849143.203712601</v>
      </c>
      <c r="K12" s="8"/>
      <c r="L12" s="8"/>
      <c r="M12" s="9"/>
      <c r="N12" s="9"/>
    </row>
    <row r="13" spans="2:14" x14ac:dyDescent="0.3">
      <c r="B13" s="5">
        <v>6</v>
      </c>
      <c r="C13" s="5" t="s">
        <v>19</v>
      </c>
      <c r="D13" s="6" t="str">
        <f t="shared" si="0"/>
        <v>resumen_montos_facturados_TD_AR_CDpRGL_2505pre.xlsx</v>
      </c>
      <c r="E13" s="5" t="s">
        <v>20</v>
      </c>
      <c r="F13" s="7">
        <v>158517.52100000001</v>
      </c>
      <c r="G13" s="7">
        <v>904819.30099999998</v>
      </c>
      <c r="H13" s="7">
        <v>0</v>
      </c>
      <c r="I13" s="7">
        <v>0</v>
      </c>
      <c r="J13" s="7">
        <v>79543.208225777256</v>
      </c>
      <c r="K13" s="8"/>
      <c r="L13" s="8"/>
      <c r="M13" s="9"/>
      <c r="N13" s="9"/>
    </row>
    <row r="14" spans="2:14" x14ac:dyDescent="0.3">
      <c r="B14" s="5">
        <v>7</v>
      </c>
      <c r="C14" s="5" t="s">
        <v>21</v>
      </c>
      <c r="D14" s="6" t="str">
        <f t="shared" si="0"/>
        <v>resumen_montos_facturados_TD_AR_CDpRGL_2505pre.xlsx</v>
      </c>
      <c r="E14" s="5" t="s">
        <v>21</v>
      </c>
      <c r="F14" s="7">
        <v>10699553.1393271</v>
      </c>
      <c r="G14" s="7">
        <v>18872801.526999999</v>
      </c>
      <c r="H14" s="7">
        <v>612991.97100000002</v>
      </c>
      <c r="I14" s="7">
        <v>39995.288999999997</v>
      </c>
      <c r="J14" s="7">
        <v>2594031.5301219812</v>
      </c>
      <c r="K14" s="8"/>
      <c r="L14" s="8"/>
      <c r="M14" s="9"/>
      <c r="N14" s="9"/>
    </row>
    <row r="15" spans="2:14" x14ac:dyDescent="0.3">
      <c r="B15" s="5">
        <v>8</v>
      </c>
      <c r="C15" s="5" t="s">
        <v>22</v>
      </c>
      <c r="D15" s="6" t="str">
        <f t="shared" si="0"/>
        <v>resumen_montos_facturados_TD_AR_CDpRGL_2505pre.xlsx</v>
      </c>
      <c r="E15" s="5" t="s">
        <v>22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8"/>
      <c r="L15" s="8"/>
      <c r="M15" s="9"/>
      <c r="N15" s="9"/>
    </row>
    <row r="16" spans="2:14" x14ac:dyDescent="0.3">
      <c r="B16" s="5">
        <v>9</v>
      </c>
      <c r="C16" s="5" t="s">
        <v>23</v>
      </c>
      <c r="D16" s="6" t="str">
        <f t="shared" si="0"/>
        <v>resumen_montos_facturados_TD_AR_CDpRGL_2505pre.xlsx</v>
      </c>
      <c r="E16" s="5" t="s">
        <v>23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/>
      <c r="L16" s="8"/>
      <c r="M16" s="9"/>
      <c r="N16" s="9"/>
    </row>
    <row r="17" spans="2:14" x14ac:dyDescent="0.3">
      <c r="B17" s="5">
        <v>10</v>
      </c>
      <c r="C17" s="5" t="s">
        <v>24</v>
      </c>
      <c r="D17" s="6" t="str">
        <f t="shared" si="0"/>
        <v>resumen_montos_facturados_TD_AR_CDpRGL_2505pre.xlsx</v>
      </c>
      <c r="E17" s="5" t="s">
        <v>24</v>
      </c>
      <c r="F17" s="7">
        <v>106851994.19599999</v>
      </c>
      <c r="G17" s="7">
        <v>546267320.21145499</v>
      </c>
      <c r="H17" s="7">
        <v>294860.86</v>
      </c>
      <c r="I17" s="7">
        <v>1324167.1939999999</v>
      </c>
      <c r="J17" s="7">
        <v>57428485.295006096</v>
      </c>
      <c r="K17" s="8"/>
      <c r="L17" s="8"/>
      <c r="M17" s="9"/>
      <c r="N17" s="9"/>
    </row>
    <row r="18" spans="2:14" x14ac:dyDescent="0.3">
      <c r="B18" s="5">
        <v>11</v>
      </c>
      <c r="C18" s="5" t="s">
        <v>25</v>
      </c>
      <c r="D18" s="6" t="str">
        <f t="shared" si="0"/>
        <v>resumen_montos_facturados_TD_AR_CDpRGL_2505pre.xlsx</v>
      </c>
      <c r="E18" s="5" t="s">
        <v>25</v>
      </c>
      <c r="F18" s="7">
        <v>44180</v>
      </c>
      <c r="G18" s="7">
        <v>283569</v>
      </c>
      <c r="H18" s="7">
        <v>0</v>
      </c>
      <c r="I18" s="7">
        <v>0</v>
      </c>
      <c r="J18" s="7">
        <v>24796.588762455569</v>
      </c>
      <c r="K18" s="8"/>
      <c r="L18" s="8"/>
      <c r="M18" s="9"/>
      <c r="N18" s="9"/>
    </row>
    <row r="19" spans="2:14" x14ac:dyDescent="0.3">
      <c r="B19" s="5">
        <v>12</v>
      </c>
      <c r="C19" s="5" t="s">
        <v>26</v>
      </c>
      <c r="D19" s="6" t="str">
        <f t="shared" si="0"/>
        <v>resumen_montos_facturados_TD_AR_CDpRGL_2505pre.xlsx</v>
      </c>
      <c r="E19" s="5" t="s">
        <v>26</v>
      </c>
      <c r="F19" s="7">
        <v>34143317.086000003</v>
      </c>
      <c r="G19" s="7">
        <v>67997616.605000004</v>
      </c>
      <c r="H19" s="7">
        <v>1527233.5549999999</v>
      </c>
      <c r="I19" s="7">
        <v>148459.09400000001</v>
      </c>
      <c r="J19" s="7">
        <v>6717057.4916286441</v>
      </c>
      <c r="K19" s="8"/>
      <c r="L19" s="8"/>
      <c r="M19" s="9"/>
      <c r="N19" s="9"/>
    </row>
    <row r="20" spans="2:14" x14ac:dyDescent="0.3">
      <c r="B20" s="5">
        <v>13</v>
      </c>
      <c r="C20" s="5" t="s">
        <v>27</v>
      </c>
      <c r="D20" s="6" t="str">
        <f t="shared" si="0"/>
        <v>resumen_montos_facturados_TD_AR_CDpRGL_2505pre.xlsx</v>
      </c>
      <c r="E20" s="5" t="s">
        <v>27</v>
      </c>
      <c r="F20" s="7">
        <v>3206338.7379999999</v>
      </c>
      <c r="G20" s="7">
        <v>17558595.651999999</v>
      </c>
      <c r="H20" s="7">
        <v>8160</v>
      </c>
      <c r="I20" s="7">
        <v>19487.210999999999</v>
      </c>
      <c r="J20" s="7">
        <v>955061.01880061068</v>
      </c>
      <c r="K20" s="8"/>
      <c r="L20" s="8"/>
      <c r="M20" s="9"/>
      <c r="N20" s="9"/>
    </row>
    <row r="21" spans="2:14" x14ac:dyDescent="0.3">
      <c r="B21" s="5">
        <v>14</v>
      </c>
      <c r="C21" s="5" t="s">
        <v>28</v>
      </c>
      <c r="D21" s="6" t="str">
        <f t="shared" si="0"/>
        <v>resumen_montos_facturados_TD_AR_CDpRGL_2505pre.xlsx</v>
      </c>
      <c r="E21" s="5" t="s">
        <v>28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8"/>
      <c r="L21" s="8"/>
      <c r="M21" s="9"/>
      <c r="N21" s="9"/>
    </row>
    <row r="22" spans="2:14" x14ac:dyDescent="0.3">
      <c r="B22" s="5">
        <v>15</v>
      </c>
      <c r="C22" s="5" t="s">
        <v>29</v>
      </c>
      <c r="D22" s="6" t="str">
        <f t="shared" si="0"/>
        <v>resumen_montos_facturados_TD_AR_CDpRGL_2505pre.xlsx</v>
      </c>
      <c r="E22" s="5" t="s">
        <v>29</v>
      </c>
      <c r="F22" s="7">
        <v>1471077</v>
      </c>
      <c r="G22" s="7">
        <v>8457923</v>
      </c>
      <c r="H22" s="7">
        <v>149</v>
      </c>
      <c r="I22" s="7">
        <v>7093</v>
      </c>
      <c r="J22" s="7">
        <v>-74625749.050760567</v>
      </c>
      <c r="K22" s="8"/>
      <c r="L22" s="8"/>
      <c r="M22" s="9"/>
      <c r="N22" s="9"/>
    </row>
    <row r="23" spans="2:14" x14ac:dyDescent="0.3">
      <c r="B23" s="5">
        <v>16</v>
      </c>
      <c r="C23" s="5" t="s">
        <v>30</v>
      </c>
      <c r="D23" s="6" t="str">
        <f t="shared" si="0"/>
        <v>resumen_montos_facturados_TD_AR_CDpRGL_2505pre.xlsx</v>
      </c>
      <c r="E23" s="5" t="s">
        <v>30</v>
      </c>
      <c r="F23" s="7">
        <v>4751790</v>
      </c>
      <c r="G23" s="7">
        <v>12830052</v>
      </c>
      <c r="H23" s="7">
        <v>587072</v>
      </c>
      <c r="I23" s="7">
        <v>144840</v>
      </c>
      <c r="J23" s="7">
        <v>1351993.2952625109</v>
      </c>
      <c r="K23" s="8"/>
      <c r="L23" s="8"/>
      <c r="M23" s="9"/>
      <c r="N23" s="9"/>
    </row>
    <row r="24" spans="2:14" x14ac:dyDescent="0.3">
      <c r="B24" s="5">
        <v>17</v>
      </c>
      <c r="C24" s="5" t="s">
        <v>31</v>
      </c>
      <c r="D24" s="6" t="str">
        <f t="shared" si="0"/>
        <v>resumen_montos_facturados_TD_AR_CDpRGL_2505pre.xlsx</v>
      </c>
      <c r="E24" s="5" t="s">
        <v>31</v>
      </c>
      <c r="F24" s="7">
        <v>1571701</v>
      </c>
      <c r="G24" s="7">
        <v>14400875</v>
      </c>
      <c r="H24" s="7">
        <v>42</v>
      </c>
      <c r="I24" s="7">
        <v>73423</v>
      </c>
      <c r="J24" s="7">
        <v>1205265.6678446811</v>
      </c>
      <c r="K24" s="8"/>
      <c r="L24" s="8"/>
      <c r="M24" s="9"/>
      <c r="N24" s="9"/>
    </row>
    <row r="25" spans="2:14" x14ac:dyDescent="0.3">
      <c r="B25" s="5">
        <v>18</v>
      </c>
      <c r="C25" s="5" t="s">
        <v>32</v>
      </c>
      <c r="D25" s="6" t="str">
        <f t="shared" si="0"/>
        <v>resumen_montos_facturados_TD_AR_CDpRGL_2505pre.xlsx</v>
      </c>
      <c r="E25" s="5" t="s">
        <v>32</v>
      </c>
      <c r="F25" s="7">
        <v>914925</v>
      </c>
      <c r="G25" s="7">
        <v>2768158</v>
      </c>
      <c r="H25" s="7">
        <v>226653</v>
      </c>
      <c r="I25" s="7">
        <v>21393</v>
      </c>
      <c r="J25" s="7">
        <v>-20411884.51973968</v>
      </c>
      <c r="K25" s="8"/>
      <c r="L25" s="8"/>
      <c r="M25" s="9"/>
      <c r="N25" s="9"/>
    </row>
    <row r="26" spans="2:14" x14ac:dyDescent="0.3">
      <c r="B26" s="5">
        <v>19</v>
      </c>
      <c r="C26" s="5" t="s">
        <v>33</v>
      </c>
      <c r="D26" s="6" t="str">
        <f t="shared" si="0"/>
        <v>resumen_montos_facturados_TD_AR_CDpRGL_2505pre.xlsx</v>
      </c>
      <c r="E26" s="5" t="s">
        <v>33</v>
      </c>
      <c r="F26" s="7">
        <v>1286656</v>
      </c>
      <c r="G26" s="7">
        <v>2274598</v>
      </c>
      <c r="H26" s="7">
        <v>75381</v>
      </c>
      <c r="I26" s="7">
        <v>8875</v>
      </c>
      <c r="J26" s="7">
        <v>-17674003.916265089</v>
      </c>
      <c r="K26" s="8"/>
      <c r="L26" s="8"/>
      <c r="M26" s="9"/>
      <c r="N26" s="9"/>
    </row>
    <row r="27" spans="2:14" x14ac:dyDescent="0.3">
      <c r="B27" s="5">
        <v>20</v>
      </c>
      <c r="C27" s="5" t="s">
        <v>34</v>
      </c>
      <c r="D27" s="6" t="str">
        <f t="shared" si="0"/>
        <v>resumen_montos_facturados_TD_AR_CDpRGL_2505pre.xlsx</v>
      </c>
      <c r="E27" s="5" t="s">
        <v>34</v>
      </c>
      <c r="F27" s="7">
        <v>1463055</v>
      </c>
      <c r="G27" s="7">
        <v>6702899</v>
      </c>
      <c r="H27" s="7">
        <v>452947</v>
      </c>
      <c r="I27" s="7">
        <v>83409</v>
      </c>
      <c r="J27" s="7">
        <v>606062.24958481919</v>
      </c>
      <c r="K27" s="8"/>
      <c r="L27" s="8"/>
      <c r="M27" s="9"/>
      <c r="N27" s="9"/>
    </row>
    <row r="28" spans="2:14" x14ac:dyDescent="0.3">
      <c r="B28" s="5">
        <v>21</v>
      </c>
      <c r="C28" s="5" t="s">
        <v>35</v>
      </c>
      <c r="D28" s="6" t="str">
        <f t="shared" si="0"/>
        <v>resumen_montos_facturados_TD_AR_CDpRGL_2505pre.xlsx</v>
      </c>
      <c r="E28" s="5" t="s">
        <v>35</v>
      </c>
      <c r="F28" s="7">
        <v>19843499.850000001</v>
      </c>
      <c r="G28" s="7">
        <v>54383712.899999999</v>
      </c>
      <c r="H28" s="7">
        <v>345398.01299999998</v>
      </c>
      <c r="I28" s="7">
        <v>156948</v>
      </c>
      <c r="J28" s="7">
        <v>5838964.2288965955</v>
      </c>
      <c r="K28" s="8"/>
      <c r="L28" s="8"/>
      <c r="M28" s="9"/>
      <c r="N28" s="9"/>
    </row>
    <row r="29" spans="2:14" x14ac:dyDescent="0.3">
      <c r="B29" s="5">
        <v>22</v>
      </c>
      <c r="C29" s="5" t="s">
        <v>36</v>
      </c>
      <c r="D29" s="6" t="str">
        <f t="shared" si="0"/>
        <v>resumen_montos_facturados_TD_AR_CDpRGL_2505pre.xlsx</v>
      </c>
      <c r="E29" s="5" t="s">
        <v>36</v>
      </c>
      <c r="F29" s="7">
        <v>7133658.7800000003</v>
      </c>
      <c r="G29" s="7">
        <v>5963228.7599999998</v>
      </c>
      <c r="H29" s="7">
        <v>251094.44</v>
      </c>
      <c r="I29" s="7">
        <v>6185</v>
      </c>
      <c r="J29" s="7">
        <v>941952.53147668787</v>
      </c>
      <c r="K29" s="8"/>
      <c r="L29" s="8"/>
      <c r="M29" s="9"/>
      <c r="N29" s="9"/>
    </row>
    <row r="30" spans="2:14" x14ac:dyDescent="0.3">
      <c r="B30" s="5">
        <v>23</v>
      </c>
      <c r="C30" s="5" t="s">
        <v>37</v>
      </c>
      <c r="D30" s="6" t="str">
        <f t="shared" si="0"/>
        <v>resumen_montos_facturados_TD_AR_CDpRGL_2505pre.xlsx</v>
      </c>
      <c r="E30" s="5" t="s">
        <v>37</v>
      </c>
      <c r="F30" s="7">
        <v>39354660.060000002</v>
      </c>
      <c r="G30" s="7">
        <v>92812185.879999995</v>
      </c>
      <c r="H30" s="7">
        <v>214538.76500000001</v>
      </c>
      <c r="I30" s="7">
        <v>169489.5</v>
      </c>
      <c r="J30" s="7">
        <v>9908321.2038842458</v>
      </c>
      <c r="K30" s="8"/>
      <c r="L30" s="8"/>
      <c r="M30" s="9"/>
      <c r="N30" s="9"/>
    </row>
    <row r="31" spans="2:14" x14ac:dyDescent="0.3">
      <c r="B31" s="5">
        <v>24</v>
      </c>
      <c r="C31" s="5" t="s">
        <v>38</v>
      </c>
      <c r="D31" s="6" t="str">
        <f t="shared" si="0"/>
        <v>resumen_montos_facturados_TD_AR_CDpRGL_2505pre.xlsx</v>
      </c>
      <c r="E31" s="5" t="s">
        <v>38</v>
      </c>
      <c r="F31" s="7">
        <v>1443824</v>
      </c>
      <c r="G31" s="7">
        <v>3055711</v>
      </c>
      <c r="H31" s="7">
        <v>43473</v>
      </c>
      <c r="I31" s="7">
        <v>12997</v>
      </c>
      <c r="J31" s="7">
        <v>348383.7435609331</v>
      </c>
      <c r="K31" s="8"/>
      <c r="L31" s="8"/>
      <c r="M31" s="9"/>
      <c r="N31" s="9"/>
    </row>
    <row r="32" spans="2:14" x14ac:dyDescent="0.3">
      <c r="B32" s="5">
        <v>25</v>
      </c>
      <c r="C32" s="5" t="s">
        <v>39</v>
      </c>
      <c r="D32" s="6" t="str">
        <f t="shared" si="0"/>
        <v>resumen_montos_facturados_TD_AR_CDpRGL_2505pre.xlsx</v>
      </c>
      <c r="E32" s="5" t="s">
        <v>39</v>
      </c>
      <c r="F32" s="7">
        <v>36541776.799900003</v>
      </c>
      <c r="G32" s="7">
        <v>128663570.79539999</v>
      </c>
      <c r="H32" s="7">
        <v>2135002.7999999998</v>
      </c>
      <c r="I32" s="7">
        <v>541320.1</v>
      </c>
      <c r="J32" s="7">
        <v>17843967.543826371</v>
      </c>
      <c r="K32" s="8"/>
      <c r="L32" s="8"/>
      <c r="M32" s="9"/>
      <c r="N32" s="9"/>
    </row>
    <row r="33" spans="2:14" x14ac:dyDescent="0.3">
      <c r="B33" s="5">
        <v>26</v>
      </c>
      <c r="C33" s="5" t="s">
        <v>40</v>
      </c>
      <c r="D33" s="6" t="str">
        <f t="shared" si="0"/>
        <v>resumen_montos_facturados_TD_AR_CDpRGL_2505pre.xlsx</v>
      </c>
      <c r="E33" s="5" t="s">
        <v>40</v>
      </c>
      <c r="F33" s="7">
        <v>1475178.1</v>
      </c>
      <c r="G33" s="7">
        <v>2100617</v>
      </c>
      <c r="H33" s="7">
        <v>44500</v>
      </c>
      <c r="I33" s="7">
        <v>101631</v>
      </c>
      <c r="J33" s="7">
        <v>321519.9621744153</v>
      </c>
      <c r="K33" s="8"/>
      <c r="L33" s="8"/>
      <c r="M33" s="9"/>
      <c r="N33" s="9"/>
    </row>
    <row r="34" spans="2:14" x14ac:dyDescent="0.3">
      <c r="B34" s="5">
        <v>27</v>
      </c>
      <c r="C34" s="5" t="s">
        <v>41</v>
      </c>
      <c r="D34" s="6" t="str">
        <f t="shared" si="0"/>
        <v>resumen_montos_facturados_TD_AR_CDpRGL_2505pre.xlsx</v>
      </c>
      <c r="E34" s="5" t="s">
        <v>41</v>
      </c>
      <c r="F34" s="7">
        <v>1194031.6000000001</v>
      </c>
      <c r="G34" s="7">
        <v>8896470.5328899994</v>
      </c>
      <c r="H34" s="7">
        <v>4586</v>
      </c>
      <c r="I34" s="7">
        <v>29757</v>
      </c>
      <c r="J34" s="7">
        <v>828906.45276305708</v>
      </c>
      <c r="K34" s="8"/>
      <c r="L34" s="8"/>
      <c r="M34" s="9"/>
      <c r="N34" s="9"/>
    </row>
    <row r="35" spans="2:14" x14ac:dyDescent="0.3">
      <c r="B35" s="5">
        <v>28</v>
      </c>
      <c r="C35" s="5" t="s">
        <v>42</v>
      </c>
      <c r="D35" s="6" t="str">
        <f t="shared" si="0"/>
        <v>resumen_montos_facturados_TD_AR_CDpRGL_2505pre.xlsx</v>
      </c>
      <c r="E35" s="5" t="s">
        <v>42</v>
      </c>
      <c r="F35" s="7">
        <v>1197237</v>
      </c>
      <c r="G35" s="7">
        <v>6485116.0861</v>
      </c>
      <c r="H35" s="7">
        <v>208213</v>
      </c>
      <c r="I35" s="7">
        <v>24801</v>
      </c>
      <c r="J35" s="7">
        <v>820377.86463770363</v>
      </c>
      <c r="K35" s="8"/>
      <c r="L35" s="8"/>
      <c r="M35" s="9"/>
      <c r="N35" s="9"/>
    </row>
    <row r="36" spans="2:14" x14ac:dyDescent="0.3">
      <c r="B36" s="5">
        <v>29</v>
      </c>
      <c r="C36" s="5" t="s">
        <v>43</v>
      </c>
      <c r="D36" s="6" t="str">
        <f t="shared" si="0"/>
        <v>resumen_montos_facturados_TD_AR_CDpRGL_2505pre.xlsx</v>
      </c>
      <c r="E36" s="5" t="s">
        <v>43</v>
      </c>
      <c r="F36" s="7">
        <v>1872112.5</v>
      </c>
      <c r="G36" s="7">
        <v>4353240.0689000003</v>
      </c>
      <c r="H36" s="7">
        <v>668120.6</v>
      </c>
      <c r="I36" s="7">
        <v>58921.3</v>
      </c>
      <c r="J36" s="7">
        <v>-112735.1220547603</v>
      </c>
      <c r="K36" s="8"/>
      <c r="L36" s="8"/>
      <c r="M36" s="9"/>
      <c r="N36" s="9"/>
    </row>
    <row r="37" spans="2:14" x14ac:dyDescent="0.3">
      <c r="B37" s="5">
        <v>30</v>
      </c>
      <c r="C37" s="5" t="s">
        <v>44</v>
      </c>
      <c r="D37" s="6" t="str">
        <f t="shared" si="0"/>
        <v>resumen_montos_facturados_TD_AR_CDpRGL_2505pre.xlsx</v>
      </c>
      <c r="E37" s="5" t="s">
        <v>45</v>
      </c>
      <c r="F37" s="7">
        <v>461393</v>
      </c>
      <c r="G37" s="7">
        <v>822365</v>
      </c>
      <c r="H37" s="7">
        <v>35744</v>
      </c>
      <c r="I37" s="7">
        <v>10574</v>
      </c>
      <c r="J37" s="7">
        <v>101100.9617768423</v>
      </c>
      <c r="K37" s="8"/>
      <c r="L37" s="8"/>
      <c r="M37" s="9"/>
      <c r="N37" s="9"/>
    </row>
    <row r="38" spans="2:14" x14ac:dyDescent="0.3">
      <c r="B38" s="5">
        <v>31</v>
      </c>
      <c r="C38" s="5" t="s">
        <v>46</v>
      </c>
      <c r="D38" s="6" t="str">
        <f t="shared" si="0"/>
        <v>resumen_montos_facturados_TD_AR_CDpRGL_2505pre.xlsx</v>
      </c>
      <c r="E38" s="5" t="s">
        <v>46</v>
      </c>
      <c r="F38" s="7">
        <v>3961195.628</v>
      </c>
      <c r="G38" s="7">
        <v>16909394.219999999</v>
      </c>
      <c r="H38" s="7">
        <v>23031</v>
      </c>
      <c r="I38" s="7">
        <v>27201.012999999999</v>
      </c>
      <c r="J38" s="7">
        <v>1684869.9021578659</v>
      </c>
      <c r="K38" s="8"/>
      <c r="L38" s="8"/>
      <c r="M38" s="9"/>
      <c r="N38" s="9"/>
    </row>
    <row r="39" spans="2:14" x14ac:dyDescent="0.3">
      <c r="B39" s="5">
        <v>32</v>
      </c>
      <c r="C39" s="5" t="s">
        <v>47</v>
      </c>
      <c r="D39" s="6" t="str">
        <f t="shared" si="0"/>
        <v>resumen_montos_facturados_TD_AR_CDpRGL_2505pre.xlsx</v>
      </c>
      <c r="E39" s="5" t="s">
        <v>47</v>
      </c>
      <c r="F39" s="7">
        <v>6290359.4550000001</v>
      </c>
      <c r="G39" s="7">
        <v>26313027.732999999</v>
      </c>
      <c r="H39" s="7">
        <v>21082.98</v>
      </c>
      <c r="I39" s="7">
        <v>13251.951999999999</v>
      </c>
      <c r="J39" s="7">
        <v>2816256.016823865</v>
      </c>
      <c r="K39" s="8"/>
      <c r="L39" s="8"/>
      <c r="M39" s="9"/>
      <c r="N39" s="9"/>
    </row>
    <row r="40" spans="2:14" x14ac:dyDescent="0.3">
      <c r="B40" s="5">
        <v>33</v>
      </c>
      <c r="C40" s="5" t="s">
        <v>48</v>
      </c>
      <c r="D40" s="6" t="str">
        <f t="shared" si="0"/>
        <v>resumen_montos_facturados_TD_AR_CDpRGL_2505pre.xlsx</v>
      </c>
      <c r="E40" s="5" t="s">
        <v>48</v>
      </c>
      <c r="F40" s="7">
        <v>14002507.805</v>
      </c>
      <c r="G40" s="7">
        <v>49466280.186999999</v>
      </c>
      <c r="H40" s="7">
        <v>77651.819999999992</v>
      </c>
      <c r="I40" s="7">
        <v>49683.195</v>
      </c>
      <c r="J40" s="7">
        <v>5582522.0473297369</v>
      </c>
      <c r="K40" s="8"/>
      <c r="L40" s="8"/>
      <c r="M40" s="9"/>
      <c r="N40" s="9"/>
    </row>
    <row r="41" spans="2:14" x14ac:dyDescent="0.3">
      <c r="B41" s="5">
        <v>34</v>
      </c>
      <c r="C41" s="5" t="s">
        <v>49</v>
      </c>
      <c r="D41" s="6" t="str">
        <f t="shared" si="0"/>
        <v>resumen_montos_facturados_TD_AR_CDpRGL_2505pre.xlsx</v>
      </c>
      <c r="E41" s="5" t="s">
        <v>49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8"/>
      <c r="L41" s="8"/>
      <c r="M41" s="9"/>
      <c r="N41" s="9"/>
    </row>
    <row r="42" spans="2:14" x14ac:dyDescent="0.3">
      <c r="B42" s="5">
        <v>35</v>
      </c>
      <c r="C42" s="5" t="s">
        <v>50</v>
      </c>
      <c r="D42" s="6" t="str">
        <f t="shared" si="0"/>
        <v>resumen_montos_facturados_TD_AR_CDpRGL_2505pre.xlsx</v>
      </c>
      <c r="E42" s="5" t="s">
        <v>50</v>
      </c>
      <c r="F42" s="7">
        <v>0</v>
      </c>
      <c r="G42" s="7">
        <v>14290</v>
      </c>
      <c r="H42" s="7">
        <v>0</v>
      </c>
      <c r="I42" s="7">
        <v>0</v>
      </c>
      <c r="J42" s="7">
        <v>1182.0074959000001</v>
      </c>
      <c r="K42" s="8"/>
      <c r="L42" s="8"/>
      <c r="M42" s="9"/>
      <c r="N42" s="9"/>
    </row>
    <row r="43" spans="2:14" x14ac:dyDescent="0.3">
      <c r="B43" s="5">
        <v>36</v>
      </c>
      <c r="C43" s="5" t="s">
        <v>51</v>
      </c>
      <c r="D43" s="6" t="str">
        <f t="shared" si="0"/>
        <v>resumen_montos_facturados_TD_AR_CDpRGL_2505pre.xlsx</v>
      </c>
      <c r="E43" s="5" t="s">
        <v>51</v>
      </c>
      <c r="F43" s="7">
        <v>32785.800000000003</v>
      </c>
      <c r="G43" s="7">
        <v>63849.399999999987</v>
      </c>
      <c r="H43" s="7">
        <v>0</v>
      </c>
      <c r="I43" s="7">
        <v>0</v>
      </c>
      <c r="J43" s="7">
        <v>7757.7998605843677</v>
      </c>
      <c r="K43" s="8"/>
      <c r="L43" s="8"/>
      <c r="M43" s="9"/>
      <c r="N43" s="9"/>
    </row>
    <row r="44" spans="2:14" x14ac:dyDescent="0.3">
      <c r="B44" s="10" t="s">
        <v>52</v>
      </c>
      <c r="C44" s="11"/>
      <c r="D44" s="11"/>
      <c r="E44" s="12"/>
      <c r="F44" s="13">
        <f>SUM(F8:F43)</f>
        <v>444233908.87722719</v>
      </c>
      <c r="G44" s="13">
        <f>SUM(G8:G43)</f>
        <v>1573315263.2707455</v>
      </c>
      <c r="H44" s="13">
        <f>SUM(H8:H43)</f>
        <v>13592691.643000001</v>
      </c>
      <c r="I44" s="13">
        <f>SUM(I8:I43)</f>
        <v>4248187.83</v>
      </c>
      <c r="J44" s="13">
        <f>SUM(J8:J43)</f>
        <v>-14321776.212235058</v>
      </c>
      <c r="K44" s="8"/>
      <c r="L44" s="8"/>
      <c r="M44" s="9"/>
      <c r="N44" s="9"/>
    </row>
    <row r="45" spans="2:14" x14ac:dyDescent="0.3">
      <c r="L45" s="8"/>
      <c r="M45" s="9"/>
      <c r="N45" s="9"/>
    </row>
  </sheetData>
  <mergeCells count="6">
    <mergeCell ref="E2:F2"/>
    <mergeCell ref="B3:C3"/>
    <mergeCell ref="B6:B7"/>
    <mergeCell ref="C6:C7"/>
    <mergeCell ref="D6:D7"/>
    <mergeCell ref="E6:E7"/>
  </mergeCells>
  <dataValidations count="1">
    <dataValidation type="list" showInputMessage="1" showErrorMessage="1" sqref="G2" xr:uid="{EF101AC3-6D8E-4E45-B89F-F2AA61808F34}">
      <formula1>"pre,def"</formula1>
    </dataValidation>
  </dataValidation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73A3-687A-437C-B39A-45074B434B54}">
  <sheetPr codeName="Hoja5">
    <tabColor theme="0"/>
  </sheetPr>
  <dimension ref="B2:N45"/>
  <sheetViews>
    <sheetView showGridLines="0" zoomScale="85" zoomScaleNormal="85" workbookViewId="0"/>
  </sheetViews>
  <sheetFormatPr baseColWidth="10" defaultRowHeight="13" x14ac:dyDescent="0.3"/>
  <cols>
    <col min="2" max="2" width="3.3984375" customWidth="1"/>
    <col min="3" max="3" width="16.296875" bestFit="1" customWidth="1"/>
    <col min="4" max="4" width="49.59765625" bestFit="1" customWidth="1"/>
    <col min="5" max="5" width="16.59765625" customWidth="1"/>
    <col min="6" max="7" width="13.09765625" customWidth="1"/>
    <col min="8" max="8" width="14.59765625" customWidth="1"/>
    <col min="9" max="9" width="11.3984375" customWidth="1"/>
    <col min="10" max="10" width="14" customWidth="1"/>
  </cols>
  <sheetData>
    <row r="2" spans="2:14" x14ac:dyDescent="0.3">
      <c r="B2" s="1" t="s">
        <v>0</v>
      </c>
      <c r="D2" s="1"/>
      <c r="E2" s="100" t="s">
        <v>1</v>
      </c>
      <c r="F2" s="100"/>
      <c r="G2" s="2" t="s">
        <v>2</v>
      </c>
    </row>
    <row r="3" spans="2:14" x14ac:dyDescent="0.3">
      <c r="B3" s="101">
        <v>45778</v>
      </c>
      <c r="C3" s="101"/>
      <c r="D3" s="3"/>
    </row>
    <row r="4" spans="2:14" x14ac:dyDescent="0.3">
      <c r="B4" s="1"/>
    </row>
    <row r="6" spans="2:14" x14ac:dyDescent="0.3">
      <c r="B6" s="102" t="s">
        <v>3</v>
      </c>
      <c r="C6" s="102" t="s">
        <v>4</v>
      </c>
      <c r="D6" s="102" t="s">
        <v>5</v>
      </c>
      <c r="E6" s="102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53</v>
      </c>
    </row>
    <row r="7" spans="2:14" x14ac:dyDescent="0.3">
      <c r="B7" s="102"/>
      <c r="C7" s="102"/>
      <c r="D7" s="102"/>
      <c r="E7" s="102"/>
      <c r="F7" s="4" t="s">
        <v>12</v>
      </c>
      <c r="G7" s="4" t="s">
        <v>12</v>
      </c>
      <c r="H7" s="4" t="s">
        <v>12</v>
      </c>
      <c r="I7" s="4" t="s">
        <v>12</v>
      </c>
      <c r="J7" s="4" t="s">
        <v>13</v>
      </c>
      <c r="M7" s="14"/>
      <c r="N7" s="14"/>
    </row>
    <row r="8" spans="2:14" ht="26" x14ac:dyDescent="0.3">
      <c r="B8" s="5">
        <v>1</v>
      </c>
      <c r="C8" s="5" t="s">
        <v>14</v>
      </c>
      <c r="D8" s="6" t="s">
        <v>97</v>
      </c>
      <c r="E8" s="5" t="s">
        <v>14</v>
      </c>
      <c r="F8" s="7">
        <v>2403299.85</v>
      </c>
      <c r="G8" s="7">
        <v>2882503</v>
      </c>
      <c r="H8" s="7">
        <v>225166.5</v>
      </c>
      <c r="I8" s="7">
        <v>43688</v>
      </c>
      <c r="J8" s="7">
        <v>0</v>
      </c>
      <c r="K8" s="8"/>
      <c r="L8" s="9"/>
      <c r="M8" s="9"/>
    </row>
    <row r="9" spans="2:14" ht="26" x14ac:dyDescent="0.3">
      <c r="B9" s="5">
        <v>2</v>
      </c>
      <c r="C9" s="5" t="s">
        <v>15</v>
      </c>
      <c r="D9" s="6" t="s">
        <v>97</v>
      </c>
      <c r="E9" s="5" t="s">
        <v>15</v>
      </c>
      <c r="F9" s="7">
        <v>833539</v>
      </c>
      <c r="G9" s="7">
        <v>3214581</v>
      </c>
      <c r="H9" s="7">
        <v>985</v>
      </c>
      <c r="I9" s="7">
        <v>47473</v>
      </c>
      <c r="J9" s="7">
        <v>0</v>
      </c>
      <c r="K9" s="8"/>
      <c r="L9" s="9"/>
      <c r="M9" s="9"/>
    </row>
    <row r="10" spans="2:14" ht="26" x14ac:dyDescent="0.3">
      <c r="B10" s="5">
        <v>3</v>
      </c>
      <c r="C10" s="5" t="s">
        <v>16</v>
      </c>
      <c r="D10" s="6" t="s">
        <v>97</v>
      </c>
      <c r="E10" s="5" t="s">
        <v>16</v>
      </c>
      <c r="F10" s="7">
        <v>3832189.04</v>
      </c>
      <c r="G10" s="7">
        <v>5150569.0470000003</v>
      </c>
      <c r="H10" s="7">
        <v>0</v>
      </c>
      <c r="I10" s="7">
        <v>27648</v>
      </c>
      <c r="J10" s="7">
        <v>0</v>
      </c>
      <c r="K10" s="8"/>
      <c r="L10" s="9"/>
      <c r="M10" s="9"/>
    </row>
    <row r="11" spans="2:14" ht="26" x14ac:dyDescent="0.3">
      <c r="B11" s="5">
        <v>4</v>
      </c>
      <c r="C11" s="5" t="s">
        <v>17</v>
      </c>
      <c r="D11" s="6" t="s">
        <v>97</v>
      </c>
      <c r="E11" s="5" t="s">
        <v>17</v>
      </c>
      <c r="F11" s="7">
        <v>444624</v>
      </c>
      <c r="G11" s="7">
        <v>1319773</v>
      </c>
      <c r="H11" s="7">
        <v>0</v>
      </c>
      <c r="I11" s="7">
        <v>0</v>
      </c>
      <c r="J11" s="7">
        <v>0</v>
      </c>
      <c r="K11" s="8"/>
      <c r="L11" s="9"/>
      <c r="M11" s="9"/>
    </row>
    <row r="12" spans="2:14" ht="26" x14ac:dyDescent="0.3">
      <c r="B12" s="5">
        <v>5</v>
      </c>
      <c r="C12" s="5" t="s">
        <v>18</v>
      </c>
      <c r="D12" s="6" t="s">
        <v>97</v>
      </c>
      <c r="E12" s="5" t="s">
        <v>18</v>
      </c>
      <c r="F12" s="7">
        <v>135352931.92899999</v>
      </c>
      <c r="G12" s="7">
        <v>461125550.36400002</v>
      </c>
      <c r="H12" s="7">
        <v>5508613.3389999997</v>
      </c>
      <c r="I12" s="7">
        <v>1055476.9820000001</v>
      </c>
      <c r="J12" s="7">
        <v>-330456.93209677358</v>
      </c>
      <c r="K12" s="8"/>
      <c r="L12" s="9"/>
      <c r="M12" s="9"/>
    </row>
    <row r="13" spans="2:14" ht="26" x14ac:dyDescent="0.3">
      <c r="B13" s="5">
        <v>6</v>
      </c>
      <c r="C13" s="5" t="s">
        <v>19</v>
      </c>
      <c r="D13" s="6" t="s">
        <v>97</v>
      </c>
      <c r="E13" s="5" t="s">
        <v>20</v>
      </c>
      <c r="F13" s="7">
        <v>158517.52100000001</v>
      </c>
      <c r="G13" s="7">
        <v>904819.30099999998</v>
      </c>
      <c r="H13" s="7">
        <v>0</v>
      </c>
      <c r="I13" s="7">
        <v>0</v>
      </c>
      <c r="J13" s="7">
        <v>0</v>
      </c>
      <c r="K13" s="8"/>
      <c r="L13" s="9"/>
      <c r="M13" s="9"/>
    </row>
    <row r="14" spans="2:14" ht="26" x14ac:dyDescent="0.3">
      <c r="B14" s="5">
        <v>7</v>
      </c>
      <c r="C14" s="5" t="s">
        <v>21</v>
      </c>
      <c r="D14" s="6" t="s">
        <v>97</v>
      </c>
      <c r="E14" s="5" t="s">
        <v>21</v>
      </c>
      <c r="F14" s="7">
        <v>10699553.1393271</v>
      </c>
      <c r="G14" s="7">
        <v>18872801.526999999</v>
      </c>
      <c r="H14" s="7">
        <v>612991.97100000002</v>
      </c>
      <c r="I14" s="7">
        <v>39995.288999999997</v>
      </c>
      <c r="J14" s="7">
        <v>4714.6831601005451</v>
      </c>
      <c r="K14" s="8"/>
      <c r="L14" s="9"/>
      <c r="M14" s="9"/>
    </row>
    <row r="15" spans="2:14" ht="26" x14ac:dyDescent="0.3">
      <c r="B15" s="5">
        <v>8</v>
      </c>
      <c r="C15" s="5" t="s">
        <v>22</v>
      </c>
      <c r="D15" s="6" t="s">
        <v>97</v>
      </c>
      <c r="E15" s="5" t="s">
        <v>22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8"/>
      <c r="L15" s="9"/>
      <c r="M15" s="9"/>
    </row>
    <row r="16" spans="2:14" ht="26" x14ac:dyDescent="0.3">
      <c r="B16" s="5">
        <v>9</v>
      </c>
      <c r="C16" s="5" t="s">
        <v>23</v>
      </c>
      <c r="D16" s="6" t="s">
        <v>97</v>
      </c>
      <c r="E16" s="5" t="s">
        <v>23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/>
      <c r="L16" s="9"/>
      <c r="M16" s="9"/>
    </row>
    <row r="17" spans="2:13" ht="26" x14ac:dyDescent="0.3">
      <c r="B17" s="5">
        <v>10</v>
      </c>
      <c r="C17" s="5" t="s">
        <v>24</v>
      </c>
      <c r="D17" s="6" t="s">
        <v>97</v>
      </c>
      <c r="E17" s="5" t="s">
        <v>24</v>
      </c>
      <c r="F17" s="7">
        <v>106851994.19599999</v>
      </c>
      <c r="G17" s="7">
        <v>546267320.21145499</v>
      </c>
      <c r="H17" s="7">
        <v>294860.86</v>
      </c>
      <c r="I17" s="7">
        <v>1324167.1939999999</v>
      </c>
      <c r="J17" s="7">
        <v>172360.01544065701</v>
      </c>
      <c r="K17" s="8"/>
      <c r="L17" s="9"/>
      <c r="M17" s="9"/>
    </row>
    <row r="18" spans="2:13" ht="26" x14ac:dyDescent="0.3">
      <c r="B18" s="5">
        <v>11</v>
      </c>
      <c r="C18" s="5" t="s">
        <v>25</v>
      </c>
      <c r="D18" s="6" t="s">
        <v>97</v>
      </c>
      <c r="E18" s="5" t="s">
        <v>25</v>
      </c>
      <c r="F18" s="7">
        <v>44180</v>
      </c>
      <c r="G18" s="7">
        <v>283569</v>
      </c>
      <c r="H18" s="7">
        <v>0</v>
      </c>
      <c r="I18" s="7">
        <v>0</v>
      </c>
      <c r="J18" s="7">
        <v>0</v>
      </c>
      <c r="K18" s="8"/>
      <c r="L18" s="9"/>
      <c r="M18" s="9"/>
    </row>
    <row r="19" spans="2:13" ht="26" x14ac:dyDescent="0.3">
      <c r="B19" s="5">
        <v>12</v>
      </c>
      <c r="C19" s="5" t="s">
        <v>26</v>
      </c>
      <c r="D19" s="6" t="s">
        <v>97</v>
      </c>
      <c r="E19" s="5" t="s">
        <v>26</v>
      </c>
      <c r="F19" s="7">
        <v>34143317.086000003</v>
      </c>
      <c r="G19" s="7">
        <v>67997616.605000004</v>
      </c>
      <c r="H19" s="7">
        <v>1527233.5549999999</v>
      </c>
      <c r="I19" s="7">
        <v>148459.09400000001</v>
      </c>
      <c r="J19" s="7">
        <v>15315.763465720151</v>
      </c>
      <c r="K19" s="8"/>
      <c r="L19" s="9"/>
      <c r="M19" s="9"/>
    </row>
    <row r="20" spans="2:13" ht="26" x14ac:dyDescent="0.3">
      <c r="B20" s="5">
        <v>13</v>
      </c>
      <c r="C20" s="5" t="s">
        <v>27</v>
      </c>
      <c r="D20" s="6" t="s">
        <v>97</v>
      </c>
      <c r="E20" s="5" t="s">
        <v>27</v>
      </c>
      <c r="F20" s="7">
        <v>3206338.7379999999</v>
      </c>
      <c r="G20" s="7">
        <v>17558595.651999999</v>
      </c>
      <c r="H20" s="7">
        <v>8160</v>
      </c>
      <c r="I20" s="7">
        <v>19487.210999999999</v>
      </c>
      <c r="J20" s="7">
        <v>-49.621109132714139</v>
      </c>
      <c r="K20" s="8"/>
      <c r="L20" s="9"/>
      <c r="M20" s="9"/>
    </row>
    <row r="21" spans="2:13" ht="26" x14ac:dyDescent="0.3">
      <c r="B21" s="5">
        <v>14</v>
      </c>
      <c r="C21" s="5" t="s">
        <v>28</v>
      </c>
      <c r="D21" s="6" t="s">
        <v>97</v>
      </c>
      <c r="E21" s="5" t="s">
        <v>28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8"/>
      <c r="L21" s="9"/>
      <c r="M21" s="9"/>
    </row>
    <row r="22" spans="2:13" ht="26" x14ac:dyDescent="0.3">
      <c r="B22" s="5">
        <v>15</v>
      </c>
      <c r="C22" s="5" t="s">
        <v>29</v>
      </c>
      <c r="D22" s="6" t="s">
        <v>97</v>
      </c>
      <c r="E22" s="5" t="s">
        <v>29</v>
      </c>
      <c r="F22" s="7">
        <v>1471077</v>
      </c>
      <c r="G22" s="7">
        <v>8457923</v>
      </c>
      <c r="H22" s="7">
        <v>149</v>
      </c>
      <c r="I22" s="7">
        <v>7093</v>
      </c>
      <c r="J22" s="7">
        <v>0</v>
      </c>
      <c r="K22" s="8"/>
      <c r="L22" s="9"/>
      <c r="M22" s="9"/>
    </row>
    <row r="23" spans="2:13" ht="26" x14ac:dyDescent="0.3">
      <c r="B23" s="5">
        <v>16</v>
      </c>
      <c r="C23" s="5" t="s">
        <v>30</v>
      </c>
      <c r="D23" s="6" t="s">
        <v>97</v>
      </c>
      <c r="E23" s="5" t="s">
        <v>30</v>
      </c>
      <c r="F23" s="7">
        <v>4751790</v>
      </c>
      <c r="G23" s="7">
        <v>12830052</v>
      </c>
      <c r="H23" s="7">
        <v>587072</v>
      </c>
      <c r="I23" s="7">
        <v>144840</v>
      </c>
      <c r="J23" s="7">
        <v>0</v>
      </c>
      <c r="K23" s="8"/>
      <c r="L23" s="9"/>
      <c r="M23" s="9"/>
    </row>
    <row r="24" spans="2:13" ht="26" x14ac:dyDescent="0.3">
      <c r="B24" s="5">
        <v>17</v>
      </c>
      <c r="C24" s="5" t="s">
        <v>31</v>
      </c>
      <c r="D24" s="6" t="s">
        <v>97</v>
      </c>
      <c r="E24" s="5" t="s">
        <v>31</v>
      </c>
      <c r="F24" s="7">
        <v>1571701</v>
      </c>
      <c r="G24" s="7">
        <v>14400875</v>
      </c>
      <c r="H24" s="7">
        <v>42</v>
      </c>
      <c r="I24" s="7">
        <v>73423</v>
      </c>
      <c r="J24" s="7">
        <v>0</v>
      </c>
      <c r="K24" s="8"/>
      <c r="L24" s="9"/>
      <c r="M24" s="9"/>
    </row>
    <row r="25" spans="2:13" ht="26" x14ac:dyDescent="0.3">
      <c r="B25" s="5">
        <v>18</v>
      </c>
      <c r="C25" s="5" t="s">
        <v>32</v>
      </c>
      <c r="D25" s="6" t="s">
        <v>97</v>
      </c>
      <c r="E25" s="5" t="s">
        <v>32</v>
      </c>
      <c r="F25" s="7">
        <v>914925</v>
      </c>
      <c r="G25" s="7">
        <v>2768158</v>
      </c>
      <c r="H25" s="7">
        <v>226653</v>
      </c>
      <c r="I25" s="7">
        <v>21393</v>
      </c>
      <c r="J25" s="7">
        <v>0</v>
      </c>
      <c r="K25" s="8"/>
      <c r="L25" s="9"/>
      <c r="M25" s="9"/>
    </row>
    <row r="26" spans="2:13" ht="26" x14ac:dyDescent="0.3">
      <c r="B26" s="5">
        <v>19</v>
      </c>
      <c r="C26" s="5" t="s">
        <v>33</v>
      </c>
      <c r="D26" s="6" t="s">
        <v>97</v>
      </c>
      <c r="E26" s="5" t="s">
        <v>33</v>
      </c>
      <c r="F26" s="7">
        <v>1286656</v>
      </c>
      <c r="G26" s="7">
        <v>2274598</v>
      </c>
      <c r="H26" s="7">
        <v>75381</v>
      </c>
      <c r="I26" s="7">
        <v>8875</v>
      </c>
      <c r="J26" s="7">
        <v>0</v>
      </c>
      <c r="K26" s="8"/>
      <c r="L26" s="9"/>
      <c r="M26" s="9"/>
    </row>
    <row r="27" spans="2:13" ht="26" x14ac:dyDescent="0.3">
      <c r="B27" s="5">
        <v>20</v>
      </c>
      <c r="C27" s="5" t="s">
        <v>34</v>
      </c>
      <c r="D27" s="6" t="s">
        <v>97</v>
      </c>
      <c r="E27" s="5" t="s">
        <v>34</v>
      </c>
      <c r="F27" s="7">
        <v>1463055</v>
      </c>
      <c r="G27" s="7">
        <v>6702899</v>
      </c>
      <c r="H27" s="7">
        <v>452947</v>
      </c>
      <c r="I27" s="7">
        <v>83409</v>
      </c>
      <c r="J27" s="7">
        <v>0</v>
      </c>
      <c r="K27" s="8"/>
      <c r="L27" s="9"/>
      <c r="M27" s="9"/>
    </row>
    <row r="28" spans="2:13" ht="26" x14ac:dyDescent="0.3">
      <c r="B28" s="5">
        <v>21</v>
      </c>
      <c r="C28" s="5" t="s">
        <v>35</v>
      </c>
      <c r="D28" s="6" t="s">
        <v>97</v>
      </c>
      <c r="E28" s="5" t="s">
        <v>35</v>
      </c>
      <c r="F28" s="7">
        <v>19843499.850000001</v>
      </c>
      <c r="G28" s="7">
        <v>54383712.899999999</v>
      </c>
      <c r="H28" s="7">
        <v>345398.01299999998</v>
      </c>
      <c r="I28" s="7">
        <v>156948</v>
      </c>
      <c r="J28" s="7">
        <v>555.2603819699998</v>
      </c>
      <c r="K28" s="8"/>
      <c r="L28" s="9"/>
      <c r="M28" s="9"/>
    </row>
    <row r="29" spans="2:13" ht="26" x14ac:dyDescent="0.3">
      <c r="B29" s="5">
        <v>22</v>
      </c>
      <c r="C29" s="5" t="s">
        <v>36</v>
      </c>
      <c r="D29" s="6" t="s">
        <v>97</v>
      </c>
      <c r="E29" s="5" t="s">
        <v>36</v>
      </c>
      <c r="F29" s="7">
        <v>7133658.7800000003</v>
      </c>
      <c r="G29" s="7">
        <v>5963228.7599999998</v>
      </c>
      <c r="H29" s="7">
        <v>251094.44</v>
      </c>
      <c r="I29" s="7">
        <v>6185</v>
      </c>
      <c r="J29" s="7">
        <v>0</v>
      </c>
      <c r="K29" s="8"/>
      <c r="L29" s="9"/>
      <c r="M29" s="9"/>
    </row>
    <row r="30" spans="2:13" ht="26" x14ac:dyDescent="0.3">
      <c r="B30" s="5">
        <v>23</v>
      </c>
      <c r="C30" s="5" t="s">
        <v>37</v>
      </c>
      <c r="D30" s="6" t="s">
        <v>97</v>
      </c>
      <c r="E30" s="5" t="s">
        <v>37</v>
      </c>
      <c r="F30" s="7">
        <v>39354660.060000002</v>
      </c>
      <c r="G30" s="7">
        <v>92812185.879999995</v>
      </c>
      <c r="H30" s="7">
        <v>214538.76500000001</v>
      </c>
      <c r="I30" s="7">
        <v>169489.5</v>
      </c>
      <c r="J30" s="7">
        <v>0</v>
      </c>
      <c r="K30" s="8"/>
      <c r="L30" s="9"/>
      <c r="M30" s="9"/>
    </row>
    <row r="31" spans="2:13" ht="26" x14ac:dyDescent="0.3">
      <c r="B31" s="5">
        <v>24</v>
      </c>
      <c r="C31" s="5" t="s">
        <v>38</v>
      </c>
      <c r="D31" s="6" t="s">
        <v>97</v>
      </c>
      <c r="E31" s="5" t="s">
        <v>38</v>
      </c>
      <c r="F31" s="7">
        <v>1443824</v>
      </c>
      <c r="G31" s="7">
        <v>3055711</v>
      </c>
      <c r="H31" s="7">
        <v>43473</v>
      </c>
      <c r="I31" s="7">
        <v>12997</v>
      </c>
      <c r="J31" s="7">
        <v>0</v>
      </c>
      <c r="K31" s="8"/>
      <c r="L31" s="9"/>
      <c r="M31" s="9"/>
    </row>
    <row r="32" spans="2:13" ht="26" x14ac:dyDescent="0.3">
      <c r="B32" s="5">
        <v>25</v>
      </c>
      <c r="C32" s="5" t="s">
        <v>39</v>
      </c>
      <c r="D32" s="6" t="s">
        <v>97</v>
      </c>
      <c r="E32" s="5" t="s">
        <v>39</v>
      </c>
      <c r="F32" s="7">
        <v>36541776.799900003</v>
      </c>
      <c r="G32" s="7">
        <v>128663570.79539999</v>
      </c>
      <c r="H32" s="7">
        <v>2135002.7999999998</v>
      </c>
      <c r="I32" s="7">
        <v>541320.1</v>
      </c>
      <c r="J32" s="7">
        <v>5538.9606350515924</v>
      </c>
      <c r="K32" s="8"/>
      <c r="L32" s="9"/>
      <c r="M32" s="9"/>
    </row>
    <row r="33" spans="2:13" ht="26" x14ac:dyDescent="0.3">
      <c r="B33" s="5">
        <v>26</v>
      </c>
      <c r="C33" s="5" t="s">
        <v>40</v>
      </c>
      <c r="D33" s="6" t="s">
        <v>97</v>
      </c>
      <c r="E33" s="5" t="s">
        <v>40</v>
      </c>
      <c r="F33" s="7">
        <v>1475178.1</v>
      </c>
      <c r="G33" s="7">
        <v>2100617</v>
      </c>
      <c r="H33" s="7">
        <v>44500</v>
      </c>
      <c r="I33" s="7">
        <v>101631</v>
      </c>
      <c r="J33" s="7">
        <v>0</v>
      </c>
      <c r="K33" s="8"/>
      <c r="L33" s="9"/>
      <c r="M33" s="9"/>
    </row>
    <row r="34" spans="2:13" ht="26" x14ac:dyDescent="0.3">
      <c r="B34" s="5">
        <v>27</v>
      </c>
      <c r="C34" s="5" t="s">
        <v>41</v>
      </c>
      <c r="D34" s="6" t="s">
        <v>97</v>
      </c>
      <c r="E34" s="5" t="s">
        <v>41</v>
      </c>
      <c r="F34" s="7">
        <v>1194031.6000000001</v>
      </c>
      <c r="G34" s="7">
        <v>8896470.5328899994</v>
      </c>
      <c r="H34" s="7">
        <v>4586</v>
      </c>
      <c r="I34" s="7">
        <v>29757</v>
      </c>
      <c r="J34" s="7">
        <v>2020.459487288859</v>
      </c>
      <c r="K34" s="8"/>
      <c r="L34" s="9"/>
      <c r="M34" s="9"/>
    </row>
    <row r="35" spans="2:13" ht="26" x14ac:dyDescent="0.3">
      <c r="B35" s="5">
        <v>28</v>
      </c>
      <c r="C35" s="5" t="s">
        <v>42</v>
      </c>
      <c r="D35" s="6" t="s">
        <v>97</v>
      </c>
      <c r="E35" s="5" t="s">
        <v>42</v>
      </c>
      <c r="F35" s="7">
        <v>1197237</v>
      </c>
      <c r="G35" s="7">
        <v>6485116.0861</v>
      </c>
      <c r="H35" s="7">
        <v>208213</v>
      </c>
      <c r="I35" s="7">
        <v>24801</v>
      </c>
      <c r="J35" s="7">
        <v>980.23075180656463</v>
      </c>
      <c r="K35" s="8"/>
      <c r="L35" s="9"/>
      <c r="M35" s="9"/>
    </row>
    <row r="36" spans="2:13" ht="26" x14ac:dyDescent="0.3">
      <c r="B36" s="5">
        <v>29</v>
      </c>
      <c r="C36" s="5" t="s">
        <v>43</v>
      </c>
      <c r="D36" s="6" t="s">
        <v>97</v>
      </c>
      <c r="E36" s="5" t="s">
        <v>43</v>
      </c>
      <c r="F36" s="7">
        <v>1872112.5</v>
      </c>
      <c r="G36" s="7">
        <v>4353240.0689000003</v>
      </c>
      <c r="H36" s="7">
        <v>668120.6</v>
      </c>
      <c r="I36" s="7">
        <v>58921.3</v>
      </c>
      <c r="J36" s="7">
        <v>3645.160805360199</v>
      </c>
      <c r="K36" s="8"/>
      <c r="L36" s="9"/>
      <c r="M36" s="9"/>
    </row>
    <row r="37" spans="2:13" ht="26" x14ac:dyDescent="0.3">
      <c r="B37" s="5">
        <v>30</v>
      </c>
      <c r="C37" s="5" t="s">
        <v>44</v>
      </c>
      <c r="D37" s="6" t="s">
        <v>97</v>
      </c>
      <c r="E37" s="5" t="s">
        <v>45</v>
      </c>
      <c r="F37" s="7">
        <v>461393</v>
      </c>
      <c r="G37" s="7">
        <v>822365</v>
      </c>
      <c r="H37" s="7">
        <v>35744</v>
      </c>
      <c r="I37" s="7">
        <v>10574</v>
      </c>
      <c r="J37" s="7">
        <v>0</v>
      </c>
      <c r="K37" s="8"/>
      <c r="L37" s="9"/>
      <c r="M37" s="9"/>
    </row>
    <row r="38" spans="2:13" ht="26" x14ac:dyDescent="0.3">
      <c r="B38" s="5">
        <v>31</v>
      </c>
      <c r="C38" s="5" t="s">
        <v>46</v>
      </c>
      <c r="D38" s="6" t="s">
        <v>97</v>
      </c>
      <c r="E38" s="5" t="s">
        <v>46</v>
      </c>
      <c r="F38" s="7">
        <v>3961195.628</v>
      </c>
      <c r="G38" s="7">
        <v>16909394.219999999</v>
      </c>
      <c r="H38" s="7">
        <v>23031</v>
      </c>
      <c r="I38" s="7">
        <v>27201.012999999999</v>
      </c>
      <c r="J38" s="7">
        <v>-1370.82550557492</v>
      </c>
      <c r="K38" s="8"/>
      <c r="L38" s="9"/>
      <c r="M38" s="9"/>
    </row>
    <row r="39" spans="2:13" ht="26" x14ac:dyDescent="0.3">
      <c r="B39" s="5">
        <v>32</v>
      </c>
      <c r="C39" s="5" t="s">
        <v>47</v>
      </c>
      <c r="D39" s="6" t="s">
        <v>97</v>
      </c>
      <c r="E39" s="5" t="s">
        <v>47</v>
      </c>
      <c r="F39" s="7">
        <v>6290359.4550000001</v>
      </c>
      <c r="G39" s="7">
        <v>26313027.732999999</v>
      </c>
      <c r="H39" s="7">
        <v>21082.98</v>
      </c>
      <c r="I39" s="7">
        <v>13251.951999999999</v>
      </c>
      <c r="J39" s="7">
        <v>14631.193798726839</v>
      </c>
      <c r="K39" s="8"/>
      <c r="L39" s="9"/>
      <c r="M39" s="9"/>
    </row>
    <row r="40" spans="2:13" ht="26" x14ac:dyDescent="0.3">
      <c r="B40" s="5">
        <v>33</v>
      </c>
      <c r="C40" s="5" t="s">
        <v>48</v>
      </c>
      <c r="D40" s="6" t="s">
        <v>97</v>
      </c>
      <c r="E40" s="5" t="s">
        <v>48</v>
      </c>
      <c r="F40" s="7">
        <v>14002507.805</v>
      </c>
      <c r="G40" s="7">
        <v>49466280.186999999</v>
      </c>
      <c r="H40" s="7">
        <v>77651.819999999992</v>
      </c>
      <c r="I40" s="7">
        <v>49683.195</v>
      </c>
      <c r="J40" s="7">
        <v>-43518.0797697323</v>
      </c>
      <c r="K40" s="8"/>
      <c r="L40" s="9"/>
      <c r="M40" s="9"/>
    </row>
    <row r="41" spans="2:13" ht="26" x14ac:dyDescent="0.3">
      <c r="B41" s="5">
        <v>34</v>
      </c>
      <c r="C41" s="5" t="s">
        <v>49</v>
      </c>
      <c r="D41" s="6" t="s">
        <v>97</v>
      </c>
      <c r="E41" s="5" t="s">
        <v>49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8"/>
      <c r="L41" s="9"/>
      <c r="M41" s="9"/>
    </row>
    <row r="42" spans="2:13" ht="26" x14ac:dyDescent="0.3">
      <c r="B42" s="5">
        <v>35</v>
      </c>
      <c r="C42" s="5" t="s">
        <v>50</v>
      </c>
      <c r="D42" s="6" t="s">
        <v>97</v>
      </c>
      <c r="E42" s="5" t="s">
        <v>50</v>
      </c>
      <c r="F42" s="7">
        <v>0</v>
      </c>
      <c r="G42" s="7">
        <v>14290</v>
      </c>
      <c r="H42" s="7">
        <v>0</v>
      </c>
      <c r="I42" s="7">
        <v>0</v>
      </c>
      <c r="J42" s="7">
        <v>0</v>
      </c>
      <c r="K42" s="8"/>
      <c r="L42" s="9"/>
      <c r="M42" s="9"/>
    </row>
    <row r="43" spans="2:13" ht="26" x14ac:dyDescent="0.3">
      <c r="B43" s="5">
        <v>36</v>
      </c>
      <c r="C43" s="5" t="s">
        <v>51</v>
      </c>
      <c r="D43" s="6" t="s">
        <v>97</v>
      </c>
      <c r="E43" s="5" t="s">
        <v>51</v>
      </c>
      <c r="F43" s="7">
        <v>32785.800000000003</v>
      </c>
      <c r="G43" s="7">
        <v>63849.399999999987</v>
      </c>
      <c r="H43" s="7">
        <v>0</v>
      </c>
      <c r="I43" s="7">
        <v>0</v>
      </c>
      <c r="J43" s="7">
        <v>0</v>
      </c>
      <c r="K43" s="8"/>
      <c r="L43" s="9"/>
      <c r="M43" s="9"/>
    </row>
    <row r="44" spans="2:13" x14ac:dyDescent="0.3">
      <c r="B44" s="10" t="s">
        <v>52</v>
      </c>
      <c r="C44" s="11"/>
      <c r="D44" s="11"/>
      <c r="E44" s="12"/>
      <c r="F44" s="13">
        <v>444233908.87722719</v>
      </c>
      <c r="G44" s="13">
        <v>1573315263.2707455</v>
      </c>
      <c r="H44" s="13">
        <v>13592691.643000001</v>
      </c>
      <c r="I44" s="13">
        <v>4248187.83</v>
      </c>
      <c r="J44" s="13">
        <v>-155633.73055453179</v>
      </c>
      <c r="K44" s="8"/>
      <c r="L44" s="9"/>
      <c r="M44" s="9"/>
    </row>
    <row r="45" spans="2:13" x14ac:dyDescent="0.3">
      <c r="F45" s="15"/>
      <c r="G45" s="15"/>
      <c r="H45" s="15"/>
      <c r="I45" s="15"/>
      <c r="J45" s="15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E60C-9098-435E-AD83-6C7D24EC260D}">
  <sheetPr codeName="Hoja11">
    <tabColor theme="0"/>
  </sheetPr>
  <dimension ref="B2:O46"/>
  <sheetViews>
    <sheetView showGridLines="0" zoomScale="85" zoomScaleNormal="85" workbookViewId="0">
      <selection activeCell="J29" sqref="J29"/>
    </sheetView>
  </sheetViews>
  <sheetFormatPr baseColWidth="10" defaultRowHeight="13" x14ac:dyDescent="0.3"/>
  <cols>
    <col min="2" max="2" width="3.3984375" customWidth="1"/>
    <col min="3" max="3" width="16.296875" bestFit="1" customWidth="1"/>
    <col min="4" max="4" width="53.8984375" customWidth="1"/>
    <col min="5" max="5" width="12" customWidth="1"/>
    <col min="6" max="6" width="16" customWidth="1"/>
    <col min="7" max="7" width="18.296875" customWidth="1"/>
    <col min="8" max="8" width="15" customWidth="1"/>
    <col min="9" max="9" width="11.59765625" customWidth="1"/>
    <col min="10" max="10" width="13.3984375" customWidth="1"/>
    <col min="11" max="11" width="12.8984375" customWidth="1"/>
    <col min="12" max="12" width="13.69921875" customWidth="1"/>
    <col min="13" max="13" width="14.09765625" customWidth="1"/>
    <col min="14" max="15" width="11.59765625" bestFit="1" customWidth="1"/>
    <col min="16" max="16" width="13.296875" customWidth="1"/>
    <col min="17" max="17" width="12.69921875" customWidth="1"/>
  </cols>
  <sheetData>
    <row r="2" spans="2:15" x14ac:dyDescent="0.3">
      <c r="B2" s="1" t="s">
        <v>0</v>
      </c>
      <c r="D2" s="1"/>
      <c r="E2" s="100" t="s">
        <v>1</v>
      </c>
      <c r="F2" s="100"/>
      <c r="G2" s="2" t="str">
        <f>'Entrada AR'!$G$2</f>
        <v>pre</v>
      </c>
    </row>
    <row r="3" spans="2:15" x14ac:dyDescent="0.3">
      <c r="B3" s="101">
        <f>'Entrada AR'!FechaFacturacion</f>
        <v>45778</v>
      </c>
      <c r="C3" s="101"/>
      <c r="D3" s="3"/>
    </row>
    <row r="4" spans="2:15" x14ac:dyDescent="0.3">
      <c r="B4" s="1"/>
    </row>
    <row r="6" spans="2:15" x14ac:dyDescent="0.3">
      <c r="B6" s="102" t="s">
        <v>3</v>
      </c>
      <c r="C6" s="102" t="s">
        <v>4</v>
      </c>
      <c r="D6" s="102" t="s">
        <v>5</v>
      </c>
      <c r="E6" s="102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54</v>
      </c>
      <c r="N6" s="9"/>
    </row>
    <row r="7" spans="2:15" x14ac:dyDescent="0.3">
      <c r="B7" s="102"/>
      <c r="C7" s="102"/>
      <c r="D7" s="102"/>
      <c r="E7" s="102"/>
      <c r="F7" s="4" t="s">
        <v>12</v>
      </c>
      <c r="G7" s="4" t="s">
        <v>12</v>
      </c>
      <c r="H7" s="4" t="s">
        <v>12</v>
      </c>
      <c r="I7" s="4" t="s">
        <v>12</v>
      </c>
      <c r="J7" s="4" t="s">
        <v>13</v>
      </c>
      <c r="N7" s="9"/>
      <c r="O7" s="14"/>
    </row>
    <row r="8" spans="2:15" x14ac:dyDescent="0.3">
      <c r="B8" s="5">
        <v>1</v>
      </c>
      <c r="C8" s="5" t="s">
        <v>14</v>
      </c>
      <c r="D8" s="6" t="str">
        <f>"resumen_montos_facturados_TD_AR_CDpRGL"&amp;"_"&amp;TEXT($B$3,"yymm")&amp;$G$2&amp;".xlsx"</f>
        <v>resumen_montos_facturados_TD_AR_CDpRGL_2505pre.xlsx</v>
      </c>
      <c r="E8" s="5" t="s">
        <v>14</v>
      </c>
      <c r="F8" s="7">
        <v>2403299.85</v>
      </c>
      <c r="G8" s="7">
        <v>2882503</v>
      </c>
      <c r="H8" s="7">
        <v>225166.5</v>
      </c>
      <c r="I8" s="7">
        <v>43688</v>
      </c>
      <c r="J8" s="7">
        <v>-189593.24317377759</v>
      </c>
      <c r="K8" s="8"/>
      <c r="L8" s="8"/>
      <c r="M8" s="9"/>
      <c r="N8" s="9"/>
    </row>
    <row r="9" spans="2:15" x14ac:dyDescent="0.3">
      <c r="B9" s="5">
        <v>2</v>
      </c>
      <c r="C9" s="5" t="s">
        <v>15</v>
      </c>
      <c r="D9" s="6" t="str">
        <f t="shared" ref="D9:D43" si="0">"resumen_montos_facturados_TD_AR_CDpRGL"&amp;"_"&amp;TEXT($B$3,"yymm")&amp;$G$2&amp;".xlsx"</f>
        <v>resumen_montos_facturados_TD_AR_CDpRGL_2505pre.xlsx</v>
      </c>
      <c r="E9" s="5" t="s">
        <v>15</v>
      </c>
      <c r="F9" s="7">
        <v>833539</v>
      </c>
      <c r="G9" s="7">
        <v>3214581</v>
      </c>
      <c r="H9" s="7">
        <v>985</v>
      </c>
      <c r="I9" s="7">
        <v>47473</v>
      </c>
      <c r="J9" s="7">
        <v>-17821412.238799401</v>
      </c>
      <c r="K9" s="8"/>
      <c r="L9" s="8"/>
      <c r="M9" s="9"/>
      <c r="N9" s="9"/>
    </row>
    <row r="10" spans="2:15" x14ac:dyDescent="0.3">
      <c r="B10" s="5">
        <v>3</v>
      </c>
      <c r="C10" s="5" t="s">
        <v>16</v>
      </c>
      <c r="D10" s="6" t="str">
        <f t="shared" si="0"/>
        <v>resumen_montos_facturados_TD_AR_CDpRGL_2505pre.xlsx</v>
      </c>
      <c r="E10" s="5" t="s">
        <v>16</v>
      </c>
      <c r="F10" s="7">
        <v>3832189.04</v>
      </c>
      <c r="G10" s="7">
        <v>5150569.0470000003</v>
      </c>
      <c r="H10" s="7">
        <v>0</v>
      </c>
      <c r="I10" s="7">
        <v>27648</v>
      </c>
      <c r="J10" s="7">
        <v>14445876.249619059</v>
      </c>
      <c r="K10" s="8"/>
      <c r="L10" s="8"/>
      <c r="M10" s="9"/>
      <c r="N10" s="9"/>
    </row>
    <row r="11" spans="2:15" x14ac:dyDescent="0.3">
      <c r="B11" s="5">
        <v>4</v>
      </c>
      <c r="C11" s="5" t="s">
        <v>17</v>
      </c>
      <c r="D11" s="6" t="str">
        <f t="shared" si="0"/>
        <v>resumen_montos_facturados_TD_AR_CDpRGL_2505pre.xlsx</v>
      </c>
      <c r="E11" s="5" t="s">
        <v>17</v>
      </c>
      <c r="F11" s="7">
        <v>444624</v>
      </c>
      <c r="G11" s="7">
        <v>1319773</v>
      </c>
      <c r="H11" s="7">
        <v>0</v>
      </c>
      <c r="I11" s="7">
        <v>0</v>
      </c>
      <c r="J11" s="7">
        <v>3247615.5869672382</v>
      </c>
      <c r="K11" s="8"/>
      <c r="L11" s="8"/>
      <c r="M11" s="9"/>
      <c r="N11" s="9"/>
    </row>
    <row r="12" spans="2:15" x14ac:dyDescent="0.3">
      <c r="B12" s="5">
        <v>5</v>
      </c>
      <c r="C12" s="5" t="s">
        <v>18</v>
      </c>
      <c r="D12" s="6" t="str">
        <f t="shared" si="0"/>
        <v>resumen_montos_facturados_TD_AR_CDpRGL_2505pre.xlsx</v>
      </c>
      <c r="E12" s="5" t="s">
        <v>18</v>
      </c>
      <c r="F12" s="7">
        <v>135352931.92899999</v>
      </c>
      <c r="G12" s="7">
        <v>461125550.36400002</v>
      </c>
      <c r="H12" s="7">
        <v>5508613.3389999997</v>
      </c>
      <c r="I12" s="7">
        <v>1055476.9820000001</v>
      </c>
      <c r="J12" s="7">
        <v>159514724.04574931</v>
      </c>
      <c r="K12" s="8"/>
      <c r="L12" s="8"/>
      <c r="M12" s="9"/>
      <c r="N12" s="9"/>
    </row>
    <row r="13" spans="2:15" x14ac:dyDescent="0.3">
      <c r="B13" s="5">
        <v>6</v>
      </c>
      <c r="C13" s="5" t="s">
        <v>19</v>
      </c>
      <c r="D13" s="6" t="str">
        <f t="shared" si="0"/>
        <v>resumen_montos_facturados_TD_AR_CDpRGL_2505pre.xlsx</v>
      </c>
      <c r="E13" s="5" t="s">
        <v>20</v>
      </c>
      <c r="F13" s="7">
        <v>158517.52100000001</v>
      </c>
      <c r="G13" s="7">
        <v>904819.30099999998</v>
      </c>
      <c r="H13" s="7">
        <v>0</v>
      </c>
      <c r="I13" s="7">
        <v>0</v>
      </c>
      <c r="J13" s="7">
        <v>-16026922.58963366</v>
      </c>
      <c r="K13" s="8"/>
      <c r="L13" s="8"/>
      <c r="M13" s="9"/>
      <c r="N13" s="9"/>
    </row>
    <row r="14" spans="2:15" x14ac:dyDescent="0.3">
      <c r="B14" s="5">
        <v>7</v>
      </c>
      <c r="C14" s="5" t="s">
        <v>21</v>
      </c>
      <c r="D14" s="6" t="str">
        <f t="shared" si="0"/>
        <v>resumen_montos_facturados_TD_AR_CDpRGL_2505pre.xlsx</v>
      </c>
      <c r="E14" s="5" t="s">
        <v>21</v>
      </c>
      <c r="F14" s="7">
        <v>10699553.1393271</v>
      </c>
      <c r="G14" s="7">
        <v>18872801.526999999</v>
      </c>
      <c r="H14" s="7">
        <v>612991.97100000002</v>
      </c>
      <c r="I14" s="7">
        <v>39995.288999999997</v>
      </c>
      <c r="J14" s="7">
        <v>-168274200.9143714</v>
      </c>
      <c r="K14" s="8"/>
      <c r="L14" s="8"/>
      <c r="M14" s="9"/>
      <c r="N14" s="9"/>
    </row>
    <row r="15" spans="2:15" x14ac:dyDescent="0.3">
      <c r="B15" s="5">
        <v>8</v>
      </c>
      <c r="C15" s="5" t="s">
        <v>22</v>
      </c>
      <c r="D15" s="6" t="str">
        <f t="shared" si="0"/>
        <v>resumen_montos_facturados_TD_AR_CDpRGL_2505pre.xlsx</v>
      </c>
      <c r="E15" s="5" t="s">
        <v>22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8"/>
      <c r="L15" s="8"/>
      <c r="M15" s="9"/>
      <c r="N15" s="9"/>
    </row>
    <row r="16" spans="2:15" x14ac:dyDescent="0.3">
      <c r="B16" s="5">
        <v>9</v>
      </c>
      <c r="C16" s="5" t="s">
        <v>23</v>
      </c>
      <c r="D16" s="6" t="str">
        <f t="shared" si="0"/>
        <v>resumen_montos_facturados_TD_AR_CDpRGL_2505pre.xlsx</v>
      </c>
      <c r="E16" s="5" t="s">
        <v>23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/>
      <c r="L16" s="8"/>
      <c r="M16" s="9"/>
      <c r="N16" s="9"/>
    </row>
    <row r="17" spans="2:14" x14ac:dyDescent="0.3">
      <c r="B17" s="5">
        <v>10</v>
      </c>
      <c r="C17" s="5" t="s">
        <v>24</v>
      </c>
      <c r="D17" s="6" t="str">
        <f t="shared" si="0"/>
        <v>resumen_montos_facturados_TD_AR_CDpRGL_2505pre.xlsx</v>
      </c>
      <c r="E17" s="5" t="s">
        <v>24</v>
      </c>
      <c r="F17" s="7">
        <v>106851994.19599999</v>
      </c>
      <c r="G17" s="7">
        <v>546267320.21145499</v>
      </c>
      <c r="H17" s="7">
        <v>294860.86</v>
      </c>
      <c r="I17" s="7">
        <v>1324167.1939999999</v>
      </c>
      <c r="J17" s="7">
        <v>919937303.23673272</v>
      </c>
      <c r="K17" s="8"/>
      <c r="L17" s="8"/>
      <c r="M17" s="9"/>
      <c r="N17" s="9"/>
    </row>
    <row r="18" spans="2:14" x14ac:dyDescent="0.3">
      <c r="B18" s="5">
        <v>11</v>
      </c>
      <c r="C18" s="5" t="s">
        <v>25</v>
      </c>
      <c r="D18" s="6" t="str">
        <f t="shared" si="0"/>
        <v>resumen_montos_facturados_TD_AR_CDpRGL_2505pre.xlsx</v>
      </c>
      <c r="E18" s="5" t="s">
        <v>25</v>
      </c>
      <c r="F18" s="7">
        <v>44180</v>
      </c>
      <c r="G18" s="7">
        <v>283569</v>
      </c>
      <c r="H18" s="7">
        <v>0</v>
      </c>
      <c r="I18" s="7">
        <v>0</v>
      </c>
      <c r="J18" s="7">
        <v>514092.65715964232</v>
      </c>
      <c r="K18" s="8"/>
      <c r="L18" s="8"/>
      <c r="M18" s="9"/>
      <c r="N18" s="9"/>
    </row>
    <row r="19" spans="2:14" x14ac:dyDescent="0.3">
      <c r="B19" s="5">
        <v>12</v>
      </c>
      <c r="C19" s="5" t="s">
        <v>26</v>
      </c>
      <c r="D19" s="6" t="str">
        <f t="shared" si="0"/>
        <v>resumen_montos_facturados_TD_AR_CDpRGL_2505pre.xlsx</v>
      </c>
      <c r="E19" s="5" t="s">
        <v>26</v>
      </c>
      <c r="F19" s="7">
        <v>34143317.086000003</v>
      </c>
      <c r="G19" s="7">
        <v>67997616.605000004</v>
      </c>
      <c r="H19" s="7">
        <v>1527233.5549999999</v>
      </c>
      <c r="I19" s="7">
        <v>148459.09400000001</v>
      </c>
      <c r="J19" s="7">
        <v>-47320960.116474018</v>
      </c>
      <c r="K19" s="8"/>
      <c r="L19" s="8"/>
      <c r="M19" s="9"/>
      <c r="N19" s="9"/>
    </row>
    <row r="20" spans="2:14" x14ac:dyDescent="0.3">
      <c r="B20" s="5">
        <v>13</v>
      </c>
      <c r="C20" s="5" t="s">
        <v>27</v>
      </c>
      <c r="D20" s="6" t="str">
        <f t="shared" si="0"/>
        <v>resumen_montos_facturados_TD_AR_CDpRGL_2505pre.xlsx</v>
      </c>
      <c r="E20" s="5" t="s">
        <v>27</v>
      </c>
      <c r="F20" s="7">
        <v>3206338.7379999999</v>
      </c>
      <c r="G20" s="7">
        <v>17558595.651999999</v>
      </c>
      <c r="H20" s="7">
        <v>8160</v>
      </c>
      <c r="I20" s="7">
        <v>19487.210999999999</v>
      </c>
      <c r="J20" s="7">
        <v>38119641.953768127</v>
      </c>
      <c r="K20" s="8"/>
      <c r="L20" s="8"/>
      <c r="M20" s="9"/>
      <c r="N20" s="9"/>
    </row>
    <row r="21" spans="2:14" x14ac:dyDescent="0.3">
      <c r="B21" s="5">
        <v>14</v>
      </c>
      <c r="C21" s="5" t="s">
        <v>28</v>
      </c>
      <c r="D21" s="6" t="str">
        <f t="shared" si="0"/>
        <v>resumen_montos_facturados_TD_AR_CDpRGL_2505pre.xlsx</v>
      </c>
      <c r="E21" s="5" t="s">
        <v>28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8"/>
      <c r="L21" s="8"/>
      <c r="M21" s="9"/>
      <c r="N21" s="9"/>
    </row>
    <row r="22" spans="2:14" x14ac:dyDescent="0.3">
      <c r="B22" s="5">
        <v>15</v>
      </c>
      <c r="C22" s="5" t="s">
        <v>29</v>
      </c>
      <c r="D22" s="6" t="str">
        <f t="shared" si="0"/>
        <v>resumen_montos_facturados_TD_AR_CDpRGL_2505pre.xlsx</v>
      </c>
      <c r="E22" s="5" t="s">
        <v>29</v>
      </c>
      <c r="F22" s="7">
        <v>1471077</v>
      </c>
      <c r="G22" s="7">
        <v>8457923</v>
      </c>
      <c r="H22" s="7">
        <v>149</v>
      </c>
      <c r="I22" s="7">
        <v>7093</v>
      </c>
      <c r="J22" s="7">
        <v>-5259893.7693278398</v>
      </c>
      <c r="K22" s="8"/>
      <c r="L22" s="8"/>
      <c r="M22" s="9"/>
      <c r="N22" s="9"/>
    </row>
    <row r="23" spans="2:14" x14ac:dyDescent="0.3">
      <c r="B23" s="5">
        <v>16</v>
      </c>
      <c r="C23" s="5" t="s">
        <v>30</v>
      </c>
      <c r="D23" s="6" t="str">
        <f t="shared" si="0"/>
        <v>resumen_montos_facturados_TD_AR_CDpRGL_2505pre.xlsx</v>
      </c>
      <c r="E23" s="5" t="s">
        <v>30</v>
      </c>
      <c r="F23" s="7">
        <v>4751790</v>
      </c>
      <c r="G23" s="7">
        <v>12830052</v>
      </c>
      <c r="H23" s="7">
        <v>587072</v>
      </c>
      <c r="I23" s="7">
        <v>144840</v>
      </c>
      <c r="J23" s="7">
        <v>22414417.473536901</v>
      </c>
      <c r="K23" s="8"/>
      <c r="L23" s="8"/>
      <c r="M23" s="9"/>
      <c r="N23" s="9"/>
    </row>
    <row r="24" spans="2:14" x14ac:dyDescent="0.3">
      <c r="B24" s="5">
        <v>17</v>
      </c>
      <c r="C24" s="5" t="s">
        <v>31</v>
      </c>
      <c r="D24" s="6" t="str">
        <f t="shared" si="0"/>
        <v>resumen_montos_facturados_TD_AR_CDpRGL_2505pre.xlsx</v>
      </c>
      <c r="E24" s="5" t="s">
        <v>31</v>
      </c>
      <c r="F24" s="7">
        <v>1571701</v>
      </c>
      <c r="G24" s="7">
        <v>14400875</v>
      </c>
      <c r="H24" s="7">
        <v>42</v>
      </c>
      <c r="I24" s="7">
        <v>73423</v>
      </c>
      <c r="J24" s="7">
        <v>22932697.696389209</v>
      </c>
      <c r="K24" s="8"/>
      <c r="L24" s="8"/>
      <c r="M24" s="9"/>
      <c r="N24" s="9"/>
    </row>
    <row r="25" spans="2:14" x14ac:dyDescent="0.3">
      <c r="B25" s="5">
        <v>18</v>
      </c>
      <c r="C25" s="5" t="s">
        <v>32</v>
      </c>
      <c r="D25" s="6" t="str">
        <f t="shared" si="0"/>
        <v>resumen_montos_facturados_TD_AR_CDpRGL_2505pre.xlsx</v>
      </c>
      <c r="E25" s="5" t="s">
        <v>32</v>
      </c>
      <c r="F25" s="7">
        <v>914925</v>
      </c>
      <c r="G25" s="7">
        <v>2768158</v>
      </c>
      <c r="H25" s="7">
        <v>226653</v>
      </c>
      <c r="I25" s="7">
        <v>21393</v>
      </c>
      <c r="J25" s="7">
        <v>-8669366.2423148155</v>
      </c>
      <c r="K25" s="8"/>
      <c r="L25" s="8"/>
      <c r="M25" s="9"/>
      <c r="N25" s="9"/>
    </row>
    <row r="26" spans="2:14" x14ac:dyDescent="0.3">
      <c r="B26" s="5">
        <v>19</v>
      </c>
      <c r="C26" s="5" t="s">
        <v>33</v>
      </c>
      <c r="D26" s="6" t="str">
        <f t="shared" si="0"/>
        <v>resumen_montos_facturados_TD_AR_CDpRGL_2505pre.xlsx</v>
      </c>
      <c r="E26" s="5" t="s">
        <v>33</v>
      </c>
      <c r="F26" s="7">
        <v>1286656</v>
      </c>
      <c r="G26" s="7">
        <v>2274598</v>
      </c>
      <c r="H26" s="7">
        <v>75381</v>
      </c>
      <c r="I26" s="7">
        <v>8875</v>
      </c>
      <c r="J26" s="7">
        <v>4686081.0762699731</v>
      </c>
      <c r="K26" s="8"/>
      <c r="L26" s="8"/>
      <c r="M26" s="9"/>
      <c r="N26" s="9"/>
    </row>
    <row r="27" spans="2:14" x14ac:dyDescent="0.3">
      <c r="B27" s="5">
        <v>20</v>
      </c>
      <c r="C27" s="5" t="s">
        <v>34</v>
      </c>
      <c r="D27" s="6" t="str">
        <f t="shared" si="0"/>
        <v>resumen_montos_facturados_TD_AR_CDpRGL_2505pre.xlsx</v>
      </c>
      <c r="E27" s="5" t="s">
        <v>34</v>
      </c>
      <c r="F27" s="7">
        <v>1463055</v>
      </c>
      <c r="G27" s="7">
        <v>6702899</v>
      </c>
      <c r="H27" s="7">
        <v>452947</v>
      </c>
      <c r="I27" s="7">
        <v>83409</v>
      </c>
      <c r="J27" s="7">
        <v>-424032.98699167289</v>
      </c>
      <c r="K27" s="8"/>
      <c r="L27" s="8"/>
      <c r="M27" s="9"/>
      <c r="N27" s="9"/>
    </row>
    <row r="28" spans="2:14" x14ac:dyDescent="0.3">
      <c r="B28" s="5">
        <v>21</v>
      </c>
      <c r="C28" s="5" t="s">
        <v>35</v>
      </c>
      <c r="D28" s="6" t="str">
        <f t="shared" si="0"/>
        <v>resumen_montos_facturados_TD_AR_CDpRGL_2505pre.xlsx</v>
      </c>
      <c r="E28" s="5" t="s">
        <v>35</v>
      </c>
      <c r="F28" s="7">
        <v>19843499.850000001</v>
      </c>
      <c r="G28" s="7">
        <v>54383712.899999999</v>
      </c>
      <c r="H28" s="7">
        <v>345398.01299999998</v>
      </c>
      <c r="I28" s="7">
        <v>156948</v>
      </c>
      <c r="J28" s="7">
        <v>-59480348.453318678</v>
      </c>
      <c r="K28" s="8"/>
      <c r="L28" s="8"/>
      <c r="M28" s="9"/>
      <c r="N28" s="9"/>
    </row>
    <row r="29" spans="2:14" x14ac:dyDescent="0.3">
      <c r="B29" s="5">
        <v>22</v>
      </c>
      <c r="C29" s="5" t="s">
        <v>36</v>
      </c>
      <c r="D29" s="6" t="str">
        <f t="shared" si="0"/>
        <v>resumen_montos_facturados_TD_AR_CDpRGL_2505pre.xlsx</v>
      </c>
      <c r="E29" s="5" t="s">
        <v>36</v>
      </c>
      <c r="F29" s="7">
        <v>7133658.7800000003</v>
      </c>
      <c r="G29" s="7">
        <v>5963228.7599999998</v>
      </c>
      <c r="H29" s="7">
        <v>251094.44</v>
      </c>
      <c r="I29" s="7">
        <v>6185</v>
      </c>
      <c r="J29" s="7">
        <v>-19250515.408050049</v>
      </c>
      <c r="K29" s="8"/>
      <c r="L29" s="8"/>
      <c r="M29" s="9"/>
      <c r="N29" s="9"/>
    </row>
    <row r="30" spans="2:14" x14ac:dyDescent="0.3">
      <c r="B30" s="5">
        <v>23</v>
      </c>
      <c r="C30" s="5" t="s">
        <v>37</v>
      </c>
      <c r="D30" s="6" t="str">
        <f t="shared" si="0"/>
        <v>resumen_montos_facturados_TD_AR_CDpRGL_2505pre.xlsx</v>
      </c>
      <c r="E30" s="5" t="s">
        <v>37</v>
      </c>
      <c r="F30" s="7">
        <v>39354660.060000002</v>
      </c>
      <c r="G30" s="7">
        <v>92812185.879999995</v>
      </c>
      <c r="H30" s="7">
        <v>214538.76500000001</v>
      </c>
      <c r="I30" s="7">
        <v>169489.5</v>
      </c>
      <c r="J30" s="7">
        <v>-167154488.81963599</v>
      </c>
      <c r="K30" s="8"/>
      <c r="L30" s="8"/>
      <c r="M30" s="9"/>
      <c r="N30" s="9"/>
    </row>
    <row r="31" spans="2:14" x14ac:dyDescent="0.3">
      <c r="B31" s="5">
        <v>24</v>
      </c>
      <c r="C31" s="5" t="s">
        <v>38</v>
      </c>
      <c r="D31" s="6" t="str">
        <f t="shared" si="0"/>
        <v>resumen_montos_facturados_TD_AR_CDpRGL_2505pre.xlsx</v>
      </c>
      <c r="E31" s="5" t="s">
        <v>38</v>
      </c>
      <c r="F31" s="7">
        <v>1443824</v>
      </c>
      <c r="G31" s="7">
        <v>3055711</v>
      </c>
      <c r="H31" s="7">
        <v>43473</v>
      </c>
      <c r="I31" s="7">
        <v>12997</v>
      </c>
      <c r="J31" s="7">
        <v>3866788.6800604579</v>
      </c>
      <c r="K31" s="8"/>
      <c r="L31" s="8"/>
      <c r="M31" s="9"/>
      <c r="N31" s="9"/>
    </row>
    <row r="32" spans="2:14" x14ac:dyDescent="0.3">
      <c r="B32" s="5">
        <v>25</v>
      </c>
      <c r="C32" s="5" t="s">
        <v>39</v>
      </c>
      <c r="D32" s="6" t="str">
        <f t="shared" si="0"/>
        <v>resumen_montos_facturados_TD_AR_CDpRGL_2505pre.xlsx</v>
      </c>
      <c r="E32" s="5" t="s">
        <v>39</v>
      </c>
      <c r="F32" s="7">
        <v>36541776.799900003</v>
      </c>
      <c r="G32" s="7">
        <v>128663570.79539999</v>
      </c>
      <c r="H32" s="7">
        <v>2135002.7999999998</v>
      </c>
      <c r="I32" s="7">
        <v>541320.1</v>
      </c>
      <c r="J32" s="7">
        <v>-222482131.9481819</v>
      </c>
      <c r="K32" s="8"/>
      <c r="L32" s="8"/>
      <c r="M32" s="9"/>
      <c r="N32" s="9"/>
    </row>
    <row r="33" spans="2:14" x14ac:dyDescent="0.3">
      <c r="B33" s="5">
        <v>26</v>
      </c>
      <c r="C33" s="5" t="s">
        <v>40</v>
      </c>
      <c r="D33" s="6" t="str">
        <f t="shared" si="0"/>
        <v>resumen_montos_facturados_TD_AR_CDpRGL_2505pre.xlsx</v>
      </c>
      <c r="E33" s="5" t="s">
        <v>40</v>
      </c>
      <c r="F33" s="7">
        <v>1475178.1</v>
      </c>
      <c r="G33" s="7">
        <v>2100617</v>
      </c>
      <c r="H33" s="7">
        <v>44500</v>
      </c>
      <c r="I33" s="7">
        <v>101631</v>
      </c>
      <c r="J33" s="7">
        <v>5475589.3929636925</v>
      </c>
      <c r="K33" s="8"/>
      <c r="L33" s="8"/>
      <c r="M33" s="9"/>
      <c r="N33" s="9"/>
    </row>
    <row r="34" spans="2:14" x14ac:dyDescent="0.3">
      <c r="B34" s="5">
        <v>27</v>
      </c>
      <c r="C34" s="5" t="s">
        <v>41</v>
      </c>
      <c r="D34" s="6" t="str">
        <f t="shared" si="0"/>
        <v>resumen_montos_facturados_TD_AR_CDpRGL_2505pre.xlsx</v>
      </c>
      <c r="E34" s="5" t="s">
        <v>41</v>
      </c>
      <c r="F34" s="7">
        <v>1194031.6000000001</v>
      </c>
      <c r="G34" s="7">
        <v>8896470.5328899994</v>
      </c>
      <c r="H34" s="7">
        <v>4586</v>
      </c>
      <c r="I34" s="7">
        <v>29757</v>
      </c>
      <c r="J34" s="7">
        <v>15942951.29585363</v>
      </c>
      <c r="K34" s="8"/>
      <c r="L34" s="8"/>
      <c r="M34" s="9"/>
      <c r="N34" s="9"/>
    </row>
    <row r="35" spans="2:14" x14ac:dyDescent="0.3">
      <c r="B35" s="5">
        <v>28</v>
      </c>
      <c r="C35" s="5" t="s">
        <v>42</v>
      </c>
      <c r="D35" s="6" t="str">
        <f t="shared" si="0"/>
        <v>resumen_montos_facturados_TD_AR_CDpRGL_2505pre.xlsx</v>
      </c>
      <c r="E35" s="5" t="s">
        <v>42</v>
      </c>
      <c r="F35" s="7">
        <v>1197237</v>
      </c>
      <c r="G35" s="7">
        <v>6485116.0861</v>
      </c>
      <c r="H35" s="7">
        <v>208213</v>
      </c>
      <c r="I35" s="7">
        <v>24801</v>
      </c>
      <c r="J35" s="7">
        <v>-40232614.807550572</v>
      </c>
      <c r="K35" s="8"/>
      <c r="L35" s="8"/>
      <c r="M35" s="9"/>
      <c r="N35" s="9"/>
    </row>
    <row r="36" spans="2:14" x14ac:dyDescent="0.3">
      <c r="B36" s="5">
        <v>29</v>
      </c>
      <c r="C36" s="5" t="s">
        <v>43</v>
      </c>
      <c r="D36" s="6" t="str">
        <f t="shared" si="0"/>
        <v>resumen_montos_facturados_TD_AR_CDpRGL_2505pre.xlsx</v>
      </c>
      <c r="E36" s="5" t="s">
        <v>43</v>
      </c>
      <c r="F36" s="7">
        <v>1872112.5</v>
      </c>
      <c r="G36" s="7">
        <v>4353240.0689000003</v>
      </c>
      <c r="H36" s="7">
        <v>668120.6</v>
      </c>
      <c r="I36" s="7">
        <v>58921.3</v>
      </c>
      <c r="J36" s="7">
        <v>7787625.24974286</v>
      </c>
      <c r="K36" s="8"/>
      <c r="L36" s="8"/>
      <c r="M36" s="9"/>
      <c r="N36" s="9"/>
    </row>
    <row r="37" spans="2:14" x14ac:dyDescent="0.3">
      <c r="B37" s="5">
        <v>30</v>
      </c>
      <c r="C37" s="5" t="s">
        <v>44</v>
      </c>
      <c r="D37" s="6" t="str">
        <f t="shared" si="0"/>
        <v>resumen_montos_facturados_TD_AR_CDpRGL_2505pre.xlsx</v>
      </c>
      <c r="E37" s="5" t="s">
        <v>45</v>
      </c>
      <c r="F37" s="7">
        <v>461393</v>
      </c>
      <c r="G37" s="7">
        <v>822365</v>
      </c>
      <c r="H37" s="7">
        <v>35744</v>
      </c>
      <c r="I37" s="7">
        <v>10574</v>
      </c>
      <c r="J37" s="7">
        <v>-11058114.468234571</v>
      </c>
      <c r="K37" s="8"/>
      <c r="L37" s="8"/>
      <c r="M37" s="9"/>
      <c r="N37" s="9"/>
    </row>
    <row r="38" spans="2:14" x14ac:dyDescent="0.3">
      <c r="B38" s="5">
        <v>31</v>
      </c>
      <c r="C38" s="5" t="s">
        <v>46</v>
      </c>
      <c r="D38" s="6" t="str">
        <f t="shared" si="0"/>
        <v>resumen_montos_facturados_TD_AR_CDpRGL_2505pre.xlsx</v>
      </c>
      <c r="E38" s="5" t="s">
        <v>46</v>
      </c>
      <c r="F38" s="7">
        <v>3961195.628</v>
      </c>
      <c r="G38" s="7">
        <v>16909394.219999999</v>
      </c>
      <c r="H38" s="7">
        <v>23031</v>
      </c>
      <c r="I38" s="7">
        <v>27201.012999999999</v>
      </c>
      <c r="J38" s="7">
        <v>31233457.804681592</v>
      </c>
      <c r="K38" s="8"/>
      <c r="L38" s="8"/>
      <c r="M38" s="9"/>
      <c r="N38" s="9"/>
    </row>
    <row r="39" spans="2:14" x14ac:dyDescent="0.3">
      <c r="B39" s="5">
        <v>32</v>
      </c>
      <c r="C39" s="5" t="s">
        <v>47</v>
      </c>
      <c r="D39" s="6" t="str">
        <f t="shared" si="0"/>
        <v>resumen_montos_facturados_TD_AR_CDpRGL_2505pre.xlsx</v>
      </c>
      <c r="E39" s="5" t="s">
        <v>47</v>
      </c>
      <c r="F39" s="7">
        <v>6290359.4550000001</v>
      </c>
      <c r="G39" s="7">
        <v>26313027.732999999</v>
      </c>
      <c r="H39" s="7">
        <v>21082.98</v>
      </c>
      <c r="I39" s="7">
        <v>13251.951999999999</v>
      </c>
      <c r="J39" s="7">
        <v>-83988828.964677677</v>
      </c>
      <c r="K39" s="8"/>
      <c r="L39" s="8"/>
      <c r="M39" s="9"/>
      <c r="N39" s="9"/>
    </row>
    <row r="40" spans="2:14" x14ac:dyDescent="0.3">
      <c r="B40" s="5">
        <v>33</v>
      </c>
      <c r="C40" s="5" t="s">
        <v>48</v>
      </c>
      <c r="D40" s="6" t="str">
        <f t="shared" si="0"/>
        <v>resumen_montos_facturados_TD_AR_CDpRGL_2505pre.xlsx</v>
      </c>
      <c r="E40" s="5" t="s">
        <v>48</v>
      </c>
      <c r="F40" s="7">
        <v>14002507.805</v>
      </c>
      <c r="G40" s="7">
        <v>49466280.186999999</v>
      </c>
      <c r="H40" s="7">
        <v>77651.819999999992</v>
      </c>
      <c r="I40" s="7">
        <v>49683.195</v>
      </c>
      <c r="J40" s="7">
        <v>-179707255.09765211</v>
      </c>
      <c r="K40" s="8"/>
      <c r="L40" s="8"/>
      <c r="M40" s="9"/>
      <c r="N40" s="9"/>
    </row>
    <row r="41" spans="2:14" x14ac:dyDescent="0.3">
      <c r="B41" s="5">
        <v>34</v>
      </c>
      <c r="C41" s="5" t="s">
        <v>49</v>
      </c>
      <c r="D41" s="6" t="str">
        <f t="shared" si="0"/>
        <v>resumen_montos_facturados_TD_AR_CDpRGL_2505pre.xlsx</v>
      </c>
      <c r="E41" s="5" t="s">
        <v>49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8"/>
      <c r="L41" s="8"/>
      <c r="M41" s="9"/>
      <c r="N41" s="9"/>
    </row>
    <row r="42" spans="2:14" x14ac:dyDescent="0.3">
      <c r="B42" s="5">
        <v>35</v>
      </c>
      <c r="C42" s="5" t="s">
        <v>50</v>
      </c>
      <c r="D42" s="6" t="str">
        <f t="shared" si="0"/>
        <v>resumen_montos_facturados_TD_AR_CDpRGL_2505pre.xlsx</v>
      </c>
      <c r="E42" s="5" t="s">
        <v>50</v>
      </c>
      <c r="F42" s="7">
        <v>0</v>
      </c>
      <c r="G42" s="7">
        <v>14290</v>
      </c>
      <c r="H42" s="7">
        <v>0</v>
      </c>
      <c r="I42" s="7">
        <v>0</v>
      </c>
      <c r="J42" s="7">
        <v>0</v>
      </c>
      <c r="K42" s="8"/>
      <c r="L42" s="8"/>
      <c r="M42" s="9"/>
      <c r="N42" s="9"/>
    </row>
    <row r="43" spans="2:14" x14ac:dyDescent="0.3">
      <c r="B43" s="5">
        <v>36</v>
      </c>
      <c r="C43" s="5" t="s">
        <v>51</v>
      </c>
      <c r="D43" s="6" t="str">
        <f t="shared" si="0"/>
        <v>resumen_montos_facturados_TD_AR_CDpRGL_2505pre.xlsx</v>
      </c>
      <c r="E43" s="5" t="s">
        <v>51</v>
      </c>
      <c r="F43" s="7">
        <v>32785.800000000003</v>
      </c>
      <c r="G43" s="7">
        <v>63849.399999999987</v>
      </c>
      <c r="H43" s="7">
        <v>0</v>
      </c>
      <c r="I43" s="7">
        <v>0</v>
      </c>
      <c r="J43" s="7">
        <v>-2286363.255466803</v>
      </c>
      <c r="K43" s="8"/>
      <c r="L43" s="8"/>
      <c r="M43" s="9"/>
      <c r="N43" s="9"/>
    </row>
    <row r="44" spans="2:14" x14ac:dyDescent="0.3">
      <c r="B44" s="10" t="s">
        <v>52</v>
      </c>
      <c r="C44" s="11"/>
      <c r="D44" s="11"/>
      <c r="E44" s="12"/>
      <c r="F44" s="13">
        <f>SUM(F8:F43)</f>
        <v>444233908.87722719</v>
      </c>
      <c r="G44" s="13">
        <f>SUM(G8:G43)</f>
        <v>1573315263.2707455</v>
      </c>
      <c r="H44" s="13">
        <f>SUM(H8:H43)</f>
        <v>13592691.643000001</v>
      </c>
      <c r="I44" s="13">
        <f>SUM(I8:I43)</f>
        <v>4248187.83</v>
      </c>
      <c r="J44" s="13">
        <f>SUM(J8:J43)</f>
        <v>200491819.07563943</v>
      </c>
      <c r="K44" s="8"/>
      <c r="L44" s="8"/>
      <c r="M44" s="9"/>
      <c r="N44" s="9"/>
    </row>
    <row r="45" spans="2:14" x14ac:dyDescent="0.3">
      <c r="N45" s="9"/>
    </row>
    <row r="46" spans="2:14" x14ac:dyDescent="0.3">
      <c r="F46" s="15"/>
      <c r="G46" s="15"/>
      <c r="H46" s="15"/>
      <c r="I46" s="15"/>
      <c r="J46" s="15"/>
      <c r="N46" s="9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9C790-76E3-461B-8CCC-E32ADC844C97}">
  <sheetPr codeName="Hoja13">
    <tabColor theme="0"/>
  </sheetPr>
  <dimension ref="B2:O46"/>
  <sheetViews>
    <sheetView showGridLines="0" zoomScale="85" zoomScaleNormal="85" workbookViewId="0">
      <selection activeCell="M15" sqref="M15"/>
    </sheetView>
  </sheetViews>
  <sheetFormatPr baseColWidth="10" defaultRowHeight="13" x14ac:dyDescent="0.3"/>
  <cols>
    <col min="2" max="2" width="3.3984375" customWidth="1"/>
    <col min="3" max="3" width="16.296875" bestFit="1" customWidth="1"/>
    <col min="4" max="4" width="49.59765625" bestFit="1" customWidth="1"/>
    <col min="5" max="5" width="12" customWidth="1"/>
    <col min="6" max="6" width="16" customWidth="1"/>
    <col min="7" max="7" width="18.296875" customWidth="1"/>
    <col min="8" max="8" width="13.69921875" customWidth="1"/>
    <col min="9" max="9" width="12.09765625" customWidth="1"/>
    <col min="10" max="10" width="12.09765625" bestFit="1" customWidth="1"/>
    <col min="11" max="11" width="12.8984375" customWidth="1"/>
    <col min="12" max="12" width="13.69921875" customWidth="1"/>
    <col min="13" max="13" width="14.09765625" customWidth="1"/>
    <col min="14" max="15" width="11.59765625" bestFit="1" customWidth="1"/>
    <col min="16" max="16" width="13.296875" customWidth="1"/>
    <col min="17" max="17" width="12.69921875" customWidth="1"/>
  </cols>
  <sheetData>
    <row r="2" spans="2:15" x14ac:dyDescent="0.3">
      <c r="B2" s="1" t="s">
        <v>0</v>
      </c>
      <c r="D2" s="1"/>
      <c r="E2" s="100" t="s">
        <v>1</v>
      </c>
      <c r="F2" s="100"/>
      <c r="G2" s="2" t="str">
        <f>'Entrada AR'!$G$2</f>
        <v>pre</v>
      </c>
    </row>
    <row r="3" spans="2:15" x14ac:dyDescent="0.3">
      <c r="B3" s="101">
        <f>'Entrada AR'!FechaFacturacion</f>
        <v>45778</v>
      </c>
      <c r="C3" s="101"/>
      <c r="D3" s="3"/>
    </row>
    <row r="4" spans="2:15" x14ac:dyDescent="0.3">
      <c r="B4" s="1"/>
    </row>
    <row r="6" spans="2:15" x14ac:dyDescent="0.3">
      <c r="B6" s="102" t="s">
        <v>3</v>
      </c>
      <c r="C6" s="102" t="s">
        <v>4</v>
      </c>
      <c r="D6" s="102" t="s">
        <v>5</v>
      </c>
      <c r="E6" s="102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55</v>
      </c>
      <c r="N6" s="9"/>
    </row>
    <row r="7" spans="2:15" x14ac:dyDescent="0.3">
      <c r="B7" s="102"/>
      <c r="C7" s="102"/>
      <c r="D7" s="102"/>
      <c r="E7" s="102"/>
      <c r="F7" s="4" t="s">
        <v>12</v>
      </c>
      <c r="G7" s="4" t="s">
        <v>12</v>
      </c>
      <c r="H7" s="4" t="s">
        <v>12</v>
      </c>
      <c r="I7" s="4" t="s">
        <v>12</v>
      </c>
      <c r="J7" s="4" t="s">
        <v>13</v>
      </c>
      <c r="N7" s="9"/>
      <c r="O7" s="14"/>
    </row>
    <row r="8" spans="2:15" ht="26" x14ac:dyDescent="0.3">
      <c r="B8" s="5">
        <v>1</v>
      </c>
      <c r="C8" s="5" t="s">
        <v>14</v>
      </c>
      <c r="D8" s="6" t="str">
        <f>"resumen_montos_facturados_TD_AR_CDpRGL"&amp;"_"&amp;TEXT($B$3,"yymm")&amp;$G$2&amp;".xlsx"</f>
        <v>resumen_montos_facturados_TD_AR_CDpRGL_2505pre.xlsx</v>
      </c>
      <c r="E8" s="5" t="s">
        <v>14</v>
      </c>
      <c r="F8" s="7">
        <v>2403299.85</v>
      </c>
      <c r="G8" s="7">
        <v>2882503</v>
      </c>
      <c r="H8" s="7">
        <v>225166.5</v>
      </c>
      <c r="I8" s="7">
        <v>43688</v>
      </c>
      <c r="J8" s="7">
        <v>3728888.6743959161</v>
      </c>
      <c r="K8" s="8"/>
      <c r="L8" s="8"/>
      <c r="M8" s="9"/>
      <c r="N8" s="9"/>
    </row>
    <row r="9" spans="2:15" ht="26" x14ac:dyDescent="0.3">
      <c r="B9" s="5">
        <v>2</v>
      </c>
      <c r="C9" s="5" t="s">
        <v>15</v>
      </c>
      <c r="D9" s="6" t="str">
        <f t="shared" ref="D9:D43" si="0">"resumen_montos_facturados_TD_AR_CDpRGL"&amp;"_"&amp;TEXT($B$3,"yymm")&amp;$G$2&amp;".xlsx"</f>
        <v>resumen_montos_facturados_TD_AR_CDpRGL_2505pre.xlsx</v>
      </c>
      <c r="E9" s="5" t="s">
        <v>15</v>
      </c>
      <c r="F9" s="7">
        <v>833539</v>
      </c>
      <c r="G9" s="7">
        <v>3214581</v>
      </c>
      <c r="H9" s="7">
        <v>985</v>
      </c>
      <c r="I9" s="7">
        <v>47473</v>
      </c>
      <c r="J9" s="7">
        <v>2705656.8315045498</v>
      </c>
      <c r="K9" s="8"/>
      <c r="L9" s="8"/>
      <c r="M9" s="9"/>
      <c r="N9" s="9"/>
    </row>
    <row r="10" spans="2:15" ht="26" x14ac:dyDescent="0.3">
      <c r="B10" s="5">
        <v>3</v>
      </c>
      <c r="C10" s="5" t="s">
        <v>16</v>
      </c>
      <c r="D10" s="6" t="str">
        <f t="shared" si="0"/>
        <v>resumen_montos_facturados_TD_AR_CDpRGL_2505pre.xlsx</v>
      </c>
      <c r="E10" s="5" t="s">
        <v>16</v>
      </c>
      <c r="F10" s="7">
        <v>3832189.04</v>
      </c>
      <c r="G10" s="7">
        <v>5150569.0470000003</v>
      </c>
      <c r="H10" s="7">
        <v>0</v>
      </c>
      <c r="I10" s="7">
        <v>27648</v>
      </c>
      <c r="J10" s="7">
        <v>6608811.3453895207</v>
      </c>
      <c r="K10" s="8"/>
      <c r="L10" s="8"/>
      <c r="M10" s="9"/>
      <c r="N10" s="9"/>
    </row>
    <row r="11" spans="2:15" ht="26" x14ac:dyDescent="0.3">
      <c r="B11" s="5">
        <v>4</v>
      </c>
      <c r="C11" s="5" t="s">
        <v>17</v>
      </c>
      <c r="D11" s="6" t="str">
        <f t="shared" si="0"/>
        <v>resumen_montos_facturados_TD_AR_CDpRGL_2505pre.xlsx</v>
      </c>
      <c r="E11" s="5" t="s">
        <v>17</v>
      </c>
      <c r="F11" s="7">
        <v>444624</v>
      </c>
      <c r="G11" s="7">
        <v>1319773</v>
      </c>
      <c r="H11" s="7">
        <v>0</v>
      </c>
      <c r="I11" s="7">
        <v>0</v>
      </c>
      <c r="J11" s="7">
        <v>1486440.214994475</v>
      </c>
      <c r="K11" s="8"/>
      <c r="L11" s="8"/>
      <c r="M11" s="9"/>
      <c r="N11" s="9"/>
    </row>
    <row r="12" spans="2:15" ht="26" x14ac:dyDescent="0.3">
      <c r="B12" s="5">
        <v>5</v>
      </c>
      <c r="C12" s="5" t="s">
        <v>18</v>
      </c>
      <c r="D12" s="6" t="str">
        <f t="shared" si="0"/>
        <v>resumen_montos_facturados_TD_AR_CDpRGL_2505pre.xlsx</v>
      </c>
      <c r="E12" s="5" t="s">
        <v>18</v>
      </c>
      <c r="F12" s="7">
        <v>135352931.92899999</v>
      </c>
      <c r="G12" s="7">
        <v>461125550.36400002</v>
      </c>
      <c r="H12" s="7">
        <v>5508613.3389999997</v>
      </c>
      <c r="I12" s="7">
        <v>1055476.9820000001</v>
      </c>
      <c r="J12" s="7">
        <v>-451951103.05764067</v>
      </c>
      <c r="K12" s="8"/>
      <c r="L12" s="8"/>
      <c r="M12" s="9"/>
      <c r="N12" s="9"/>
    </row>
    <row r="13" spans="2:15" ht="26" x14ac:dyDescent="0.3">
      <c r="B13" s="5">
        <v>6</v>
      </c>
      <c r="C13" s="5" t="s">
        <v>19</v>
      </c>
      <c r="D13" s="6" t="str">
        <f t="shared" si="0"/>
        <v>resumen_montos_facturados_TD_AR_CDpRGL_2505pre.xlsx</v>
      </c>
      <c r="E13" s="5" t="s">
        <v>20</v>
      </c>
      <c r="F13" s="7">
        <v>158517.52100000001</v>
      </c>
      <c r="G13" s="7">
        <v>904819.30099999998</v>
      </c>
      <c r="H13" s="7">
        <v>0</v>
      </c>
      <c r="I13" s="7">
        <v>0</v>
      </c>
      <c r="J13" s="7">
        <v>578708.02347935061</v>
      </c>
      <c r="K13" s="8"/>
      <c r="L13" s="8"/>
      <c r="M13" s="9"/>
      <c r="N13" s="9"/>
    </row>
    <row r="14" spans="2:15" ht="26" x14ac:dyDescent="0.3">
      <c r="B14" s="5">
        <v>7</v>
      </c>
      <c r="C14" s="5" t="s">
        <v>21</v>
      </c>
      <c r="D14" s="6" t="str">
        <f t="shared" si="0"/>
        <v>resumen_montos_facturados_TD_AR_CDpRGL_2505pre.xlsx</v>
      </c>
      <c r="E14" s="5" t="s">
        <v>21</v>
      </c>
      <c r="F14" s="7">
        <v>10699553.1393271</v>
      </c>
      <c r="G14" s="7">
        <v>18872801.526999999</v>
      </c>
      <c r="H14" s="7">
        <v>612991.97100000002</v>
      </c>
      <c r="I14" s="7">
        <v>39995.288999999997</v>
      </c>
      <c r="J14" s="7">
        <v>-20004259.938767839</v>
      </c>
      <c r="K14" s="8"/>
      <c r="L14" s="8"/>
      <c r="M14" s="9"/>
      <c r="N14" s="9"/>
    </row>
    <row r="15" spans="2:15" ht="26" x14ac:dyDescent="0.3">
      <c r="B15" s="5">
        <v>8</v>
      </c>
      <c r="C15" s="5" t="s">
        <v>22</v>
      </c>
      <c r="D15" s="6" t="str">
        <f t="shared" si="0"/>
        <v>resumen_montos_facturados_TD_AR_CDpRGL_2505pre.xlsx</v>
      </c>
      <c r="E15" s="5" t="s">
        <v>22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8"/>
      <c r="L15" s="8"/>
      <c r="M15" s="9"/>
      <c r="N15" s="9"/>
    </row>
    <row r="16" spans="2:15" ht="26" x14ac:dyDescent="0.3">
      <c r="B16" s="5">
        <v>9</v>
      </c>
      <c r="C16" s="5" t="s">
        <v>23</v>
      </c>
      <c r="D16" s="6" t="str">
        <f t="shared" si="0"/>
        <v>resumen_montos_facturados_TD_AR_CDpRGL_2505pre.xlsx</v>
      </c>
      <c r="E16" s="5" t="s">
        <v>23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/>
      <c r="L16" s="8"/>
      <c r="M16" s="9"/>
      <c r="N16" s="9"/>
    </row>
    <row r="17" spans="2:14" ht="26" x14ac:dyDescent="0.3">
      <c r="B17" s="5">
        <v>10</v>
      </c>
      <c r="C17" s="5" t="s">
        <v>24</v>
      </c>
      <c r="D17" s="6" t="str">
        <f t="shared" si="0"/>
        <v>resumen_montos_facturados_TD_AR_CDpRGL_2505pre.xlsx</v>
      </c>
      <c r="E17" s="5" t="s">
        <v>24</v>
      </c>
      <c r="F17" s="7">
        <v>106851994.19599999</v>
      </c>
      <c r="G17" s="7">
        <v>546267320.21145499</v>
      </c>
      <c r="H17" s="7">
        <v>294860.86</v>
      </c>
      <c r="I17" s="7">
        <v>1324167.1939999999</v>
      </c>
      <c r="J17" s="7">
        <v>463070571.16741502</v>
      </c>
      <c r="K17" s="8"/>
      <c r="L17" s="8"/>
      <c r="M17" s="9"/>
      <c r="N17" s="9"/>
    </row>
    <row r="18" spans="2:14" ht="26" x14ac:dyDescent="0.3">
      <c r="B18" s="5">
        <v>11</v>
      </c>
      <c r="C18" s="5" t="s">
        <v>25</v>
      </c>
      <c r="D18" s="6" t="str">
        <f t="shared" si="0"/>
        <v>resumen_montos_facturados_TD_AR_CDpRGL_2505pre.xlsx</v>
      </c>
      <c r="E18" s="5" t="s">
        <v>25</v>
      </c>
      <c r="F18" s="7">
        <v>44180</v>
      </c>
      <c r="G18" s="7">
        <v>283569</v>
      </c>
      <c r="H18" s="7">
        <v>0</v>
      </c>
      <c r="I18" s="7">
        <v>0</v>
      </c>
      <c r="J18" s="7">
        <v>235392.96937880359</v>
      </c>
      <c r="K18" s="8"/>
      <c r="L18" s="8"/>
      <c r="M18" s="9"/>
      <c r="N18" s="9"/>
    </row>
    <row r="19" spans="2:14" ht="26" x14ac:dyDescent="0.3">
      <c r="B19" s="5">
        <v>12</v>
      </c>
      <c r="C19" s="5" t="s">
        <v>26</v>
      </c>
      <c r="D19" s="6" t="str">
        <f t="shared" si="0"/>
        <v>resumen_montos_facturados_TD_AR_CDpRGL_2505pre.xlsx</v>
      </c>
      <c r="E19" s="5" t="s">
        <v>26</v>
      </c>
      <c r="F19" s="7">
        <v>34143317.086000003</v>
      </c>
      <c r="G19" s="7">
        <v>67997616.605000004</v>
      </c>
      <c r="H19" s="7">
        <v>1527233.5549999999</v>
      </c>
      <c r="I19" s="7">
        <v>148459.09400000001</v>
      </c>
      <c r="J19" s="7">
        <v>-68412271.416111171</v>
      </c>
      <c r="K19" s="8"/>
      <c r="L19" s="8"/>
      <c r="M19" s="9"/>
      <c r="N19" s="9"/>
    </row>
    <row r="20" spans="2:14" ht="26" x14ac:dyDescent="0.3">
      <c r="B20" s="5">
        <v>13</v>
      </c>
      <c r="C20" s="5" t="s">
        <v>27</v>
      </c>
      <c r="D20" s="6" t="str">
        <f t="shared" si="0"/>
        <v>resumen_montos_facturados_TD_AR_CDpRGL_2505pre.xlsx</v>
      </c>
      <c r="E20" s="5" t="s">
        <v>27</v>
      </c>
      <c r="F20" s="7">
        <v>3206338.7379999999</v>
      </c>
      <c r="G20" s="7">
        <v>17558595.651999999</v>
      </c>
      <c r="H20" s="7">
        <v>8160</v>
      </c>
      <c r="I20" s="7">
        <v>19487.210999999999</v>
      </c>
      <c r="J20" s="7">
        <v>17441761.804580688</v>
      </c>
      <c r="K20" s="8"/>
      <c r="L20" s="8"/>
      <c r="M20" s="9"/>
      <c r="N20" s="9"/>
    </row>
    <row r="21" spans="2:14" ht="26" x14ac:dyDescent="0.3">
      <c r="B21" s="5">
        <v>14</v>
      </c>
      <c r="C21" s="5" t="s">
        <v>28</v>
      </c>
      <c r="D21" s="6" t="str">
        <f t="shared" si="0"/>
        <v>resumen_montos_facturados_TD_AR_CDpRGL_2505pre.xlsx</v>
      </c>
      <c r="E21" s="5" t="s">
        <v>28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8"/>
      <c r="L21" s="8"/>
      <c r="M21" s="9"/>
      <c r="N21" s="9"/>
    </row>
    <row r="22" spans="2:14" ht="26" x14ac:dyDescent="0.3">
      <c r="B22" s="5">
        <v>15</v>
      </c>
      <c r="C22" s="5" t="s">
        <v>29</v>
      </c>
      <c r="D22" s="6" t="str">
        <f t="shared" si="0"/>
        <v>resumen_montos_facturados_TD_AR_CDpRGL_2505pre.xlsx</v>
      </c>
      <c r="E22" s="5" t="s">
        <v>29</v>
      </c>
      <c r="F22" s="7">
        <v>1471077</v>
      </c>
      <c r="G22" s="7">
        <v>8457923</v>
      </c>
      <c r="H22" s="7">
        <v>149</v>
      </c>
      <c r="I22" s="7">
        <v>7093</v>
      </c>
      <c r="J22" s="7">
        <v>6980506.3556095324</v>
      </c>
      <c r="K22" s="8"/>
      <c r="L22" s="8"/>
      <c r="M22" s="9"/>
      <c r="N22" s="9"/>
    </row>
    <row r="23" spans="2:14" ht="26" x14ac:dyDescent="0.3">
      <c r="B23" s="5">
        <v>16</v>
      </c>
      <c r="C23" s="5" t="s">
        <v>30</v>
      </c>
      <c r="D23" s="6" t="str">
        <f t="shared" si="0"/>
        <v>resumen_montos_facturados_TD_AR_CDpRGL_2505pre.xlsx</v>
      </c>
      <c r="E23" s="5" t="s">
        <v>30</v>
      </c>
      <c r="F23" s="7">
        <v>4751790</v>
      </c>
      <c r="G23" s="7">
        <v>12830052</v>
      </c>
      <c r="H23" s="7">
        <v>587072</v>
      </c>
      <c r="I23" s="7">
        <v>144840</v>
      </c>
      <c r="J23" s="7">
        <v>11692854.557335841</v>
      </c>
      <c r="K23" s="8"/>
      <c r="L23" s="8"/>
      <c r="M23" s="9"/>
      <c r="N23" s="9"/>
    </row>
    <row r="24" spans="2:14" ht="26" x14ac:dyDescent="0.3">
      <c r="B24" s="5">
        <v>17</v>
      </c>
      <c r="C24" s="5" t="s">
        <v>31</v>
      </c>
      <c r="D24" s="6" t="str">
        <f t="shared" si="0"/>
        <v>resumen_montos_facturados_TD_AR_CDpRGL_2505pre.xlsx</v>
      </c>
      <c r="E24" s="5" t="s">
        <v>31</v>
      </c>
      <c r="F24" s="7">
        <v>1571701</v>
      </c>
      <c r="G24" s="7">
        <v>14400875</v>
      </c>
      <c r="H24" s="7">
        <v>42</v>
      </c>
      <c r="I24" s="7">
        <v>73423</v>
      </c>
      <c r="J24" s="7">
        <v>10498077.51491636</v>
      </c>
      <c r="K24" s="8"/>
      <c r="L24" s="8"/>
      <c r="M24" s="9"/>
      <c r="N24" s="9"/>
    </row>
    <row r="25" spans="2:14" ht="26" x14ac:dyDescent="0.3">
      <c r="B25" s="5">
        <v>18</v>
      </c>
      <c r="C25" s="5" t="s">
        <v>32</v>
      </c>
      <c r="D25" s="6" t="str">
        <f t="shared" si="0"/>
        <v>resumen_montos_facturados_TD_AR_CDpRGL_2505pre.xlsx</v>
      </c>
      <c r="E25" s="5" t="s">
        <v>32</v>
      </c>
      <c r="F25" s="7">
        <v>914925</v>
      </c>
      <c r="G25" s="7">
        <v>2768158</v>
      </c>
      <c r="H25" s="7">
        <v>226653</v>
      </c>
      <c r="I25" s="7">
        <v>21393</v>
      </c>
      <c r="J25" s="7">
        <v>2653160.7143470128</v>
      </c>
      <c r="K25" s="8"/>
      <c r="L25" s="8"/>
      <c r="M25" s="9"/>
      <c r="N25" s="9"/>
    </row>
    <row r="26" spans="2:14" ht="26" x14ac:dyDescent="0.3">
      <c r="B26" s="5">
        <v>19</v>
      </c>
      <c r="C26" s="5" t="s">
        <v>33</v>
      </c>
      <c r="D26" s="6" t="str">
        <f t="shared" si="0"/>
        <v>resumen_montos_facturados_TD_AR_CDpRGL_2505pre.xlsx</v>
      </c>
      <c r="E26" s="5" t="s">
        <v>33</v>
      </c>
      <c r="F26" s="7">
        <v>1286656</v>
      </c>
      <c r="G26" s="7">
        <v>2274598</v>
      </c>
      <c r="H26" s="7">
        <v>75381</v>
      </c>
      <c r="I26" s="7">
        <v>8875</v>
      </c>
      <c r="J26" s="7">
        <v>2571955.3907412849</v>
      </c>
      <c r="K26" s="8"/>
      <c r="L26" s="8"/>
      <c r="M26" s="9"/>
      <c r="N26" s="9"/>
    </row>
    <row r="27" spans="2:14" ht="26" x14ac:dyDescent="0.3">
      <c r="B27" s="5">
        <v>20</v>
      </c>
      <c r="C27" s="5" t="s">
        <v>34</v>
      </c>
      <c r="D27" s="6" t="str">
        <f t="shared" si="0"/>
        <v>resumen_montos_facturados_TD_AR_CDpRGL_2505pre.xlsx</v>
      </c>
      <c r="E27" s="5" t="s">
        <v>34</v>
      </c>
      <c r="F27" s="7">
        <v>1463055</v>
      </c>
      <c r="G27" s="7">
        <v>6702899</v>
      </c>
      <c r="H27" s="7">
        <v>452947</v>
      </c>
      <c r="I27" s="7">
        <v>83409</v>
      </c>
      <c r="J27" s="7">
        <v>4466381.006670082</v>
      </c>
      <c r="K27" s="8"/>
      <c r="L27" s="8"/>
      <c r="M27" s="9"/>
      <c r="N27" s="9"/>
    </row>
    <row r="28" spans="2:14" ht="26" x14ac:dyDescent="0.3">
      <c r="B28" s="5">
        <v>21</v>
      </c>
      <c r="C28" s="5" t="s">
        <v>35</v>
      </c>
      <c r="D28" s="6" t="str">
        <f t="shared" si="0"/>
        <v>resumen_montos_facturados_TD_AR_CDpRGL_2505pre.xlsx</v>
      </c>
      <c r="E28" s="5" t="s">
        <v>35</v>
      </c>
      <c r="F28" s="7">
        <v>19843499.850000001</v>
      </c>
      <c r="G28" s="7">
        <v>54383712.899999999</v>
      </c>
      <c r="H28" s="7">
        <v>345398.01299999998</v>
      </c>
      <c r="I28" s="7">
        <v>156948</v>
      </c>
      <c r="J28" s="7">
        <v>40161954.816559918</v>
      </c>
      <c r="K28" s="8"/>
      <c r="L28" s="8"/>
      <c r="M28" s="9"/>
      <c r="N28" s="9"/>
    </row>
    <row r="29" spans="2:14" ht="26" x14ac:dyDescent="0.3">
      <c r="B29" s="5">
        <v>22</v>
      </c>
      <c r="C29" s="5" t="s">
        <v>36</v>
      </c>
      <c r="D29" s="6" t="str">
        <f t="shared" si="0"/>
        <v>resumen_montos_facturados_TD_AR_CDpRGL_2505pre.xlsx</v>
      </c>
      <c r="E29" s="5" t="s">
        <v>36</v>
      </c>
      <c r="F29" s="7">
        <v>7133658.7800000003</v>
      </c>
      <c r="G29" s="7">
        <v>5963228.7599999998</v>
      </c>
      <c r="H29" s="7">
        <v>251094.44</v>
      </c>
      <c r="I29" s="7">
        <v>6185</v>
      </c>
      <c r="J29" s="7">
        <v>8973389.3723092992</v>
      </c>
      <c r="K29" s="8"/>
      <c r="L29" s="8"/>
      <c r="M29" s="9"/>
      <c r="N29" s="9"/>
    </row>
    <row r="30" spans="2:14" ht="26" x14ac:dyDescent="0.3">
      <c r="B30" s="5">
        <v>23</v>
      </c>
      <c r="C30" s="5" t="s">
        <v>37</v>
      </c>
      <c r="D30" s="6" t="str">
        <f t="shared" si="0"/>
        <v>resumen_montos_facturados_TD_AR_CDpRGL_2505pre.xlsx</v>
      </c>
      <c r="E30" s="5" t="s">
        <v>37</v>
      </c>
      <c r="F30" s="7">
        <v>39354660.060000002</v>
      </c>
      <c r="G30" s="7">
        <v>92812185.879999995</v>
      </c>
      <c r="H30" s="7">
        <v>214538.76500000001</v>
      </c>
      <c r="I30" s="7">
        <v>169489.5</v>
      </c>
      <c r="J30" s="7">
        <v>89089100.506446019</v>
      </c>
      <c r="K30" s="8"/>
      <c r="L30" s="8"/>
      <c r="M30" s="9"/>
      <c r="N30" s="9"/>
    </row>
    <row r="31" spans="2:14" ht="26" x14ac:dyDescent="0.3">
      <c r="B31" s="5">
        <v>24</v>
      </c>
      <c r="C31" s="5" t="s">
        <v>38</v>
      </c>
      <c r="D31" s="6" t="str">
        <f t="shared" si="0"/>
        <v>resumen_montos_facturados_TD_AR_CDpRGL_2505pre.xlsx</v>
      </c>
      <c r="E31" s="5" t="s">
        <v>38</v>
      </c>
      <c r="F31" s="7">
        <v>1443824</v>
      </c>
      <c r="G31" s="7">
        <v>3055711</v>
      </c>
      <c r="H31" s="7">
        <v>43473</v>
      </c>
      <c r="I31" s="7">
        <v>12997</v>
      </c>
      <c r="J31" s="7">
        <v>2646321.3662575982</v>
      </c>
      <c r="K31" s="8"/>
      <c r="L31" s="8"/>
      <c r="M31" s="9"/>
      <c r="N31" s="9"/>
    </row>
    <row r="32" spans="2:14" ht="26" x14ac:dyDescent="0.3">
      <c r="B32" s="5">
        <v>25</v>
      </c>
      <c r="C32" s="5" t="s">
        <v>39</v>
      </c>
      <c r="D32" s="6" t="str">
        <f t="shared" si="0"/>
        <v>resumen_montos_facturados_TD_AR_CDpRGL_2505pre.xlsx</v>
      </c>
      <c r="E32" s="5" t="s">
        <v>39</v>
      </c>
      <c r="F32" s="7">
        <v>36541776.799900003</v>
      </c>
      <c r="G32" s="7">
        <v>128663570.79539999</v>
      </c>
      <c r="H32" s="7">
        <v>2135002.7999999998</v>
      </c>
      <c r="I32" s="7">
        <v>541320.1</v>
      </c>
      <c r="J32" s="7">
        <v>-117622216.27067479</v>
      </c>
      <c r="K32" s="8"/>
      <c r="L32" s="8"/>
      <c r="M32" s="9"/>
      <c r="N32" s="9"/>
    </row>
    <row r="33" spans="2:14" ht="26" x14ac:dyDescent="0.3">
      <c r="B33" s="5">
        <v>26</v>
      </c>
      <c r="C33" s="5" t="s">
        <v>40</v>
      </c>
      <c r="D33" s="6" t="str">
        <f t="shared" si="0"/>
        <v>resumen_montos_facturados_TD_AR_CDpRGL_2505pre.xlsx</v>
      </c>
      <c r="E33" s="5" t="s">
        <v>40</v>
      </c>
      <c r="F33" s="7">
        <v>1475178.1</v>
      </c>
      <c r="G33" s="7">
        <v>2100617</v>
      </c>
      <c r="H33" s="7">
        <v>44500</v>
      </c>
      <c r="I33" s="7">
        <v>101631</v>
      </c>
      <c r="J33" s="7">
        <v>2505094.717239283</v>
      </c>
      <c r="K33" s="8"/>
      <c r="L33" s="8"/>
      <c r="M33" s="9"/>
      <c r="N33" s="9"/>
    </row>
    <row r="34" spans="2:14" ht="26" x14ac:dyDescent="0.3">
      <c r="B34" s="5">
        <v>27</v>
      </c>
      <c r="C34" s="5" t="s">
        <v>41</v>
      </c>
      <c r="D34" s="6" t="str">
        <f t="shared" si="0"/>
        <v>resumen_montos_facturados_TD_AR_CDpRGL_2505pre.xlsx</v>
      </c>
      <c r="E34" s="5" t="s">
        <v>41</v>
      </c>
      <c r="F34" s="7">
        <v>1194031.6000000001</v>
      </c>
      <c r="G34" s="7">
        <v>8896470.5328899994</v>
      </c>
      <c r="H34" s="7">
        <v>4586</v>
      </c>
      <c r="I34" s="7">
        <v>29757</v>
      </c>
      <c r="J34" s="7">
        <v>7295644.3576849708</v>
      </c>
      <c r="K34" s="8"/>
      <c r="L34" s="8"/>
      <c r="M34" s="9"/>
      <c r="N34" s="9"/>
    </row>
    <row r="35" spans="2:14" ht="26" x14ac:dyDescent="0.3">
      <c r="B35" s="5">
        <v>28</v>
      </c>
      <c r="C35" s="5" t="s">
        <v>42</v>
      </c>
      <c r="D35" s="6" t="str">
        <f t="shared" si="0"/>
        <v>resumen_montos_facturados_TD_AR_CDpRGL_2505pre.xlsx</v>
      </c>
      <c r="E35" s="5" t="s">
        <v>42</v>
      </c>
      <c r="F35" s="7">
        <v>1197237</v>
      </c>
      <c r="G35" s="7">
        <v>6485116.0861</v>
      </c>
      <c r="H35" s="7">
        <v>208213</v>
      </c>
      <c r="I35" s="7">
        <v>24801</v>
      </c>
      <c r="J35" s="7">
        <v>4558294.2742910367</v>
      </c>
      <c r="K35" s="8"/>
      <c r="L35" s="8"/>
      <c r="M35" s="9"/>
      <c r="N35" s="9"/>
    </row>
    <row r="36" spans="2:14" ht="26" x14ac:dyDescent="0.3">
      <c r="B36" s="5">
        <v>29</v>
      </c>
      <c r="C36" s="5" t="s">
        <v>43</v>
      </c>
      <c r="D36" s="6" t="str">
        <f t="shared" si="0"/>
        <v>resumen_montos_facturados_TD_AR_CDpRGL_2505pre.xlsx</v>
      </c>
      <c r="E36" s="5" t="s">
        <v>43</v>
      </c>
      <c r="F36" s="7">
        <v>1872112.5</v>
      </c>
      <c r="G36" s="7">
        <v>4353240.0689000003</v>
      </c>
      <c r="H36" s="7">
        <v>668120.6</v>
      </c>
      <c r="I36" s="7">
        <v>58921.3</v>
      </c>
      <c r="J36" s="7">
        <v>3583689.4473216571</v>
      </c>
      <c r="K36" s="8"/>
      <c r="L36" s="8"/>
      <c r="M36" s="9"/>
      <c r="N36" s="9"/>
    </row>
    <row r="37" spans="2:14" ht="26" x14ac:dyDescent="0.3">
      <c r="B37" s="5">
        <v>30</v>
      </c>
      <c r="C37" s="5" t="s">
        <v>44</v>
      </c>
      <c r="D37" s="6" t="str">
        <f t="shared" si="0"/>
        <v>resumen_montos_facturados_TD_AR_CDpRGL_2505pre.xlsx</v>
      </c>
      <c r="E37" s="5" t="s">
        <v>45</v>
      </c>
      <c r="F37" s="7">
        <v>461393</v>
      </c>
      <c r="G37" s="7">
        <v>822365</v>
      </c>
      <c r="H37" s="7">
        <v>35744</v>
      </c>
      <c r="I37" s="7">
        <v>10574</v>
      </c>
      <c r="J37" s="7">
        <v>882853.46903721488</v>
      </c>
      <c r="K37" s="8"/>
      <c r="L37" s="8"/>
      <c r="M37" s="9"/>
      <c r="N37" s="9"/>
    </row>
    <row r="38" spans="2:14" ht="26" x14ac:dyDescent="0.3">
      <c r="B38" s="5">
        <v>31</v>
      </c>
      <c r="C38" s="5" t="s">
        <v>46</v>
      </c>
      <c r="D38" s="6" t="str">
        <f t="shared" si="0"/>
        <v>resumen_montos_facturados_TD_AR_CDpRGL_2505pre.xlsx</v>
      </c>
      <c r="E38" s="5" t="s">
        <v>46</v>
      </c>
      <c r="F38" s="7">
        <v>3961195.628</v>
      </c>
      <c r="G38" s="7">
        <v>16909394.219999999</v>
      </c>
      <c r="H38" s="7">
        <v>23031</v>
      </c>
      <c r="I38" s="7">
        <v>27201.012999999999</v>
      </c>
      <c r="J38" s="7">
        <v>14502371.286225021</v>
      </c>
      <c r="K38" s="8"/>
      <c r="L38" s="8"/>
      <c r="M38" s="9"/>
      <c r="N38" s="9"/>
    </row>
    <row r="39" spans="2:14" ht="26" x14ac:dyDescent="0.3">
      <c r="B39" s="5">
        <v>32</v>
      </c>
      <c r="C39" s="5" t="s">
        <v>47</v>
      </c>
      <c r="D39" s="6" t="str">
        <f t="shared" si="0"/>
        <v>resumen_montos_facturados_TD_AR_CDpRGL_2505pre.xlsx</v>
      </c>
      <c r="E39" s="5" t="s">
        <v>47</v>
      </c>
      <c r="F39" s="7">
        <v>6290359.4550000001</v>
      </c>
      <c r="G39" s="7">
        <v>26313027.732999999</v>
      </c>
      <c r="H39" s="7">
        <v>21082.98</v>
      </c>
      <c r="I39" s="7">
        <v>13251.951999999999</v>
      </c>
      <c r="J39" s="7">
        <v>21175651.675715338</v>
      </c>
      <c r="K39" s="8"/>
      <c r="L39" s="8"/>
      <c r="M39" s="9"/>
      <c r="N39" s="9"/>
    </row>
    <row r="40" spans="2:14" ht="26" x14ac:dyDescent="0.3">
      <c r="B40" s="5">
        <v>33</v>
      </c>
      <c r="C40" s="5" t="s">
        <v>48</v>
      </c>
      <c r="D40" s="6" t="str">
        <f t="shared" si="0"/>
        <v>resumen_montos_facturados_TD_AR_CDpRGL_2505pre.xlsx</v>
      </c>
      <c r="E40" s="5" t="s">
        <v>48</v>
      </c>
      <c r="F40" s="7">
        <v>14002507.805</v>
      </c>
      <c r="G40" s="7">
        <v>49466280.186999999</v>
      </c>
      <c r="H40" s="7">
        <v>77651.819999999992</v>
      </c>
      <c r="I40" s="7">
        <v>49683.195</v>
      </c>
      <c r="J40" s="7">
        <v>-106725868.7378682</v>
      </c>
      <c r="K40" s="8"/>
      <c r="L40" s="8"/>
      <c r="M40" s="9"/>
      <c r="N40" s="9"/>
    </row>
    <row r="41" spans="2:14" ht="26" x14ac:dyDescent="0.3">
      <c r="B41" s="5">
        <v>34</v>
      </c>
      <c r="C41" s="5" t="s">
        <v>49</v>
      </c>
      <c r="D41" s="6" t="str">
        <f t="shared" si="0"/>
        <v>resumen_montos_facturados_TD_AR_CDpRGL_2505pre.xlsx</v>
      </c>
      <c r="E41" s="5" t="s">
        <v>49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8"/>
      <c r="L41" s="8"/>
      <c r="M41" s="9"/>
      <c r="N41" s="9"/>
    </row>
    <row r="42" spans="2:14" ht="26" x14ac:dyDescent="0.3">
      <c r="B42" s="5">
        <v>35</v>
      </c>
      <c r="C42" s="5" t="s">
        <v>50</v>
      </c>
      <c r="D42" s="6" t="str">
        <f t="shared" si="0"/>
        <v>resumen_montos_facturados_TD_AR_CDpRGL_2505pre.xlsx</v>
      </c>
      <c r="E42" s="5" t="s">
        <v>50</v>
      </c>
      <c r="F42" s="7">
        <v>0</v>
      </c>
      <c r="G42" s="7">
        <v>14290</v>
      </c>
      <c r="H42" s="7">
        <v>0</v>
      </c>
      <c r="I42" s="7">
        <v>0</v>
      </c>
      <c r="J42" s="7">
        <v>15099.7295603</v>
      </c>
      <c r="K42" s="8"/>
      <c r="L42" s="8"/>
      <c r="M42" s="9"/>
      <c r="N42" s="9"/>
    </row>
    <row r="43" spans="2:14" ht="26" x14ac:dyDescent="0.3">
      <c r="B43" s="5">
        <v>36</v>
      </c>
      <c r="C43" s="5" t="s">
        <v>51</v>
      </c>
      <c r="D43" s="6" t="str">
        <f t="shared" si="0"/>
        <v>resumen_montos_facturados_TD_AR_CDpRGL_2505pre.xlsx</v>
      </c>
      <c r="E43" s="5" t="s">
        <v>51</v>
      </c>
      <c r="F43" s="7">
        <v>32785.800000000003</v>
      </c>
      <c r="G43" s="7">
        <v>63849.399999999987</v>
      </c>
      <c r="H43" s="7">
        <v>0</v>
      </c>
      <c r="I43" s="7">
        <v>0</v>
      </c>
      <c r="J43" s="7">
        <v>-2555848.662296616</v>
      </c>
      <c r="K43" s="8"/>
      <c r="L43" s="8"/>
      <c r="M43" s="9"/>
      <c r="N43" s="9"/>
    </row>
    <row r="44" spans="2:14" x14ac:dyDescent="0.3">
      <c r="B44" s="10" t="s">
        <v>52</v>
      </c>
      <c r="C44" s="11"/>
      <c r="D44" s="11"/>
      <c r="E44" s="12"/>
      <c r="F44" s="13">
        <f>SUM(F8:F43)</f>
        <v>444233908.87722719</v>
      </c>
      <c r="G44" s="13">
        <f>SUM(G8:G43)</f>
        <v>1573315263.2707455</v>
      </c>
      <c r="H44" s="13">
        <f>SUM(H8:H43)</f>
        <v>13592691.643000001</v>
      </c>
      <c r="I44" s="13">
        <f>SUM(I8:I43)</f>
        <v>4248187.83</v>
      </c>
      <c r="J44" s="13">
        <f>SUM(J8:J43)</f>
        <v>-37162936.493953206</v>
      </c>
      <c r="K44" s="8"/>
      <c r="L44" s="8"/>
      <c r="M44" s="9"/>
      <c r="N44" s="9"/>
    </row>
    <row r="45" spans="2:14" x14ac:dyDescent="0.3">
      <c r="M45" s="9"/>
      <c r="N45" s="9"/>
    </row>
    <row r="46" spans="2:14" x14ac:dyDescent="0.3">
      <c r="F46" s="15"/>
      <c r="G46" s="15"/>
      <c r="H46" s="15"/>
      <c r="I46" s="15"/>
      <c r="J46" s="15"/>
      <c r="N46" s="9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F984-4555-4B95-8116-D10C9ACD36BA}">
  <sheetPr codeName="Hoja9">
    <tabColor theme="6" tint="0.59999389629810485"/>
  </sheetPr>
  <dimension ref="B2:R53"/>
  <sheetViews>
    <sheetView showGridLines="0" zoomScale="70" zoomScaleNormal="70" workbookViewId="0">
      <selection activeCell="P47" sqref="P47"/>
    </sheetView>
  </sheetViews>
  <sheetFormatPr baseColWidth="10" defaultColWidth="11.3984375" defaultRowHeight="13" x14ac:dyDescent="0.3"/>
  <cols>
    <col min="1" max="1" width="11.3984375" style="17"/>
    <col min="2" max="2" width="21" style="17" customWidth="1"/>
    <col min="3" max="3" width="14.296875" style="17" bestFit="1" customWidth="1"/>
    <col min="4" max="4" width="15.3984375" style="17" bestFit="1" customWidth="1"/>
    <col min="5" max="5" width="13.59765625" style="17" customWidth="1"/>
    <col min="6" max="6" width="13.69921875" style="17" customWidth="1"/>
    <col min="7" max="7" width="11.59765625" style="17" bestFit="1" customWidth="1"/>
    <col min="8" max="8" width="13.3984375" style="17" bestFit="1" customWidth="1"/>
    <col min="9" max="9" width="16.09765625" style="17" bestFit="1" customWidth="1"/>
    <col min="10" max="10" width="17.09765625" style="17" customWidth="1"/>
    <col min="11" max="11" width="16.09765625" style="17" customWidth="1"/>
    <col min="12" max="12" width="14.59765625" style="17" bestFit="1" customWidth="1"/>
    <col min="13" max="13" width="22.8984375" style="17" bestFit="1" customWidth="1"/>
    <col min="14" max="14" width="15.8984375" style="17" bestFit="1" customWidth="1"/>
    <col min="15" max="15" width="21.8984375" style="17" customWidth="1"/>
    <col min="16" max="16" width="18.296875" style="17" customWidth="1"/>
    <col min="17" max="17" width="14.3984375" style="17" customWidth="1"/>
    <col min="18" max="16384" width="11.3984375" style="17"/>
  </cols>
  <sheetData>
    <row r="2" spans="2:18" x14ac:dyDescent="0.3">
      <c r="B2" s="16" t="s">
        <v>56</v>
      </c>
      <c r="C2" s="16"/>
      <c r="D2" s="16"/>
    </row>
    <row r="3" spans="2:18" x14ac:dyDescent="0.3">
      <c r="B3" s="18">
        <f>FechaFacturacion</f>
        <v>45778</v>
      </c>
      <c r="C3" s="19"/>
      <c r="D3" s="19"/>
      <c r="I3" s="20" t="s">
        <v>57</v>
      </c>
      <c r="J3" s="21"/>
      <c r="K3" s="21"/>
    </row>
    <row r="4" spans="2:18" x14ac:dyDescent="0.3">
      <c r="B4" s="22"/>
      <c r="D4" s="19"/>
      <c r="I4" s="23">
        <v>1.9460661662498158E-3</v>
      </c>
      <c r="J4" s="24"/>
      <c r="K4" s="24"/>
      <c r="L4" s="25"/>
    </row>
    <row r="6" spans="2:18" ht="12.75" customHeight="1" x14ac:dyDescent="0.3">
      <c r="B6" s="105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53</v>
      </c>
      <c r="H6" s="105" t="str">
        <f>"Saldo "&amp;TEXT(B3-1,"mmmmmmmmmm")</f>
        <v>Saldo abril</v>
      </c>
      <c r="I6" s="105" t="s">
        <v>58</v>
      </c>
      <c r="J6" s="105" t="s">
        <v>59</v>
      </c>
      <c r="K6" s="105" t="s">
        <v>60</v>
      </c>
      <c r="L6" s="108" t="s">
        <v>61</v>
      </c>
      <c r="M6" s="105" t="s">
        <v>62</v>
      </c>
      <c r="N6" s="103" t="s">
        <v>63</v>
      </c>
      <c r="O6" s="105" t="s">
        <v>64</v>
      </c>
      <c r="P6" s="105" t="s">
        <v>65</v>
      </c>
      <c r="R6" s="29"/>
    </row>
    <row r="7" spans="2:18" ht="12.75" customHeight="1" x14ac:dyDescent="0.3">
      <c r="B7" s="109"/>
      <c r="C7" s="106"/>
      <c r="D7" s="106"/>
      <c r="E7" s="106"/>
      <c r="F7" s="106"/>
      <c r="G7" s="106"/>
      <c r="H7" s="107"/>
      <c r="I7" s="106"/>
      <c r="J7" s="106"/>
      <c r="K7" s="106"/>
      <c r="L7" s="108"/>
      <c r="M7" s="106"/>
      <c r="N7" s="104"/>
      <c r="O7" s="106"/>
      <c r="P7" s="106"/>
    </row>
    <row r="8" spans="2:18" ht="13.5" customHeight="1" x14ac:dyDescent="0.3">
      <c r="B8" s="109"/>
      <c r="C8" s="26" t="s">
        <v>12</v>
      </c>
      <c r="D8" s="26" t="s">
        <v>12</v>
      </c>
      <c r="E8" s="26" t="s">
        <v>12</v>
      </c>
      <c r="F8" s="26" t="s">
        <v>12</v>
      </c>
      <c r="G8" s="26" t="s">
        <v>13</v>
      </c>
      <c r="H8" s="26" t="s">
        <v>13</v>
      </c>
      <c r="I8" s="26" t="s">
        <v>13</v>
      </c>
      <c r="J8" s="26"/>
      <c r="K8" s="26"/>
      <c r="L8" s="26" t="s">
        <v>13</v>
      </c>
      <c r="M8" s="26" t="s">
        <v>13</v>
      </c>
      <c r="N8" s="28" t="s">
        <v>13</v>
      </c>
      <c r="O8" s="27" t="s">
        <v>13</v>
      </c>
      <c r="P8" s="27" t="s">
        <v>13</v>
      </c>
    </row>
    <row r="9" spans="2:18" x14ac:dyDescent="0.3">
      <c r="B9" s="30" t="s">
        <v>14</v>
      </c>
      <c r="C9" s="31">
        <f>SUMIF('Entrada TD'!$E$8:$E$43,'Reliquidación TD'!$B9,'Entrada TD'!F$8:F$43)</f>
        <v>2403299.85</v>
      </c>
      <c r="D9" s="31">
        <f>SUMIF('Entrada TD'!$E$8:$E$43,'Reliquidación TD'!$B9,'Entrada TD'!G$8:G$43)</f>
        <v>2882503</v>
      </c>
      <c r="E9" s="31">
        <f>SUMIF('Entrada TD'!$E$8:$E$43,'Reliquidación TD'!$B9,'Entrada TD'!H$8:H$43)</f>
        <v>225166.5</v>
      </c>
      <c r="F9" s="31">
        <f>SUMIF('Entrada TD'!$E$8:$E$43,'Reliquidación TD'!$B9,'Entrada TD'!I$8:I$43)</f>
        <v>43688</v>
      </c>
      <c r="G9" s="31">
        <f>SUMIF('Entrada TD'!$E$8:$E$43,'Reliquidación TD'!$B9,'Entrada TD'!J$8:J$43)</f>
        <v>0</v>
      </c>
      <c r="H9" s="31">
        <v>0</v>
      </c>
      <c r="I9" s="31">
        <f t="shared" ref="I9:I43" si="0">H9*($I$4+1)</f>
        <v>0</v>
      </c>
      <c r="J9" s="31">
        <v>0</v>
      </c>
      <c r="K9" s="31">
        <f>+J9*($I$4+1)</f>
        <v>0</v>
      </c>
      <c r="L9" s="31">
        <f>+G9+K9</f>
        <v>0</v>
      </c>
      <c r="M9" s="31">
        <f>IF(L9&lt;0,-L9,0)</f>
        <v>0</v>
      </c>
      <c r="N9" s="31">
        <f>IF(L9&gt;0,L9,0)</f>
        <v>0</v>
      </c>
      <c r="O9" s="31">
        <f t="shared" ref="O9:O43" si="1">IF(OR($M$44=0,$N$44=0),0,(M9/$M$44-N9/$N$44)*$N$49)</f>
        <v>0</v>
      </c>
      <c r="P9" s="31">
        <f t="shared" ref="P9:P43" si="2">L9+O9</f>
        <v>0</v>
      </c>
    </row>
    <row r="10" spans="2:18" x14ac:dyDescent="0.3">
      <c r="B10" s="32" t="s">
        <v>15</v>
      </c>
      <c r="C10" s="33">
        <f>SUMIF('Entrada TD'!$E$8:$E$43,'Reliquidación TD'!$B10,'Entrada TD'!F$8:F$43)</f>
        <v>833539</v>
      </c>
      <c r="D10" s="33">
        <f>SUMIF('Entrada TD'!$E$8:$E$43,'Reliquidación TD'!$B10,'Entrada TD'!G$8:G$43)</f>
        <v>3214581</v>
      </c>
      <c r="E10" s="33">
        <f>SUMIF('Entrada TD'!$E$8:$E$43,'Reliquidación TD'!$B10,'Entrada TD'!H$8:H$43)</f>
        <v>985</v>
      </c>
      <c r="F10" s="33">
        <f>SUMIF('Entrada TD'!$E$8:$E$43,'Reliquidación TD'!$B10,'Entrada TD'!I$8:I$43)</f>
        <v>47473</v>
      </c>
      <c r="G10" s="33">
        <f>SUMIF('Entrada TD'!$E$8:$E$43,'Reliquidación TD'!$B10,'Entrada TD'!J$8:J$43)</f>
        <v>0</v>
      </c>
      <c r="H10" s="33">
        <v>0</v>
      </c>
      <c r="I10" s="33">
        <f t="shared" si="0"/>
        <v>0</v>
      </c>
      <c r="J10" s="33">
        <v>0</v>
      </c>
      <c r="K10" s="33">
        <f>+J10*($I$4+1)</f>
        <v>0</v>
      </c>
      <c r="L10" s="33">
        <f t="shared" ref="L10:L43" si="3">+G10+K10</f>
        <v>0</v>
      </c>
      <c r="M10" s="33">
        <f t="shared" ref="M10:M43" si="4">IF(L10&lt;0,-L10,0)</f>
        <v>0</v>
      </c>
      <c r="N10" s="33">
        <f t="shared" ref="N10:N43" si="5">IF(L10&gt;0,L10,0)</f>
        <v>0</v>
      </c>
      <c r="O10" s="33">
        <f t="shared" si="1"/>
        <v>0</v>
      </c>
      <c r="P10" s="33">
        <f t="shared" si="2"/>
        <v>0</v>
      </c>
    </row>
    <row r="11" spans="2:18" x14ac:dyDescent="0.3">
      <c r="B11" s="32" t="s">
        <v>16</v>
      </c>
      <c r="C11" s="33">
        <f>SUMIF('Entrada TD'!$E$8:$E$43,'Reliquidación TD'!$B11,'Entrada TD'!F$8:F$43)</f>
        <v>3832189.04</v>
      </c>
      <c r="D11" s="33">
        <f>SUMIF('Entrada TD'!$E$8:$E$43,'Reliquidación TD'!$B11,'Entrada TD'!G$8:G$43)</f>
        <v>5150569.0470000003</v>
      </c>
      <c r="E11" s="33">
        <f>SUMIF('Entrada TD'!$E$8:$E$43,'Reliquidación TD'!$B11,'Entrada TD'!H$8:H$43)</f>
        <v>0</v>
      </c>
      <c r="F11" s="33">
        <f>SUMIF('Entrada TD'!$E$8:$E$43,'Reliquidación TD'!$B11,'Entrada TD'!I$8:I$43)</f>
        <v>27648</v>
      </c>
      <c r="G11" s="33">
        <f>SUMIF('Entrada TD'!$E$8:$E$43,'Reliquidación TD'!$B11,'Entrada TD'!J$8:J$43)</f>
        <v>0</v>
      </c>
      <c r="H11" s="33">
        <v>0</v>
      </c>
      <c r="I11" s="33">
        <f t="shared" si="0"/>
        <v>0</v>
      </c>
      <c r="J11" s="33">
        <v>-61029974.858878002</v>
      </c>
      <c r="K11" s="33">
        <f>+J11*($I$4+1)</f>
        <v>-61148743.228077941</v>
      </c>
      <c r="L11" s="33">
        <f t="shared" si="3"/>
        <v>-61148743.228077941</v>
      </c>
      <c r="M11" s="33">
        <f t="shared" si="4"/>
        <v>61148743.228077941</v>
      </c>
      <c r="N11" s="33">
        <f t="shared" si="5"/>
        <v>0</v>
      </c>
      <c r="O11" s="33">
        <f t="shared" si="1"/>
        <v>218420.83057528685</v>
      </c>
      <c r="P11" s="33">
        <f t="shared" si="2"/>
        <v>-60930322.397502653</v>
      </c>
    </row>
    <row r="12" spans="2:18" x14ac:dyDescent="0.3">
      <c r="B12" s="32" t="s">
        <v>17</v>
      </c>
      <c r="C12" s="33">
        <f>SUMIF('Entrada TD'!$E$8:$E$43,'Reliquidación TD'!$B12,'Entrada TD'!F$8:F$43)</f>
        <v>444624</v>
      </c>
      <c r="D12" s="33">
        <f>SUMIF('Entrada TD'!$E$8:$E$43,'Reliquidación TD'!$B12,'Entrada TD'!G$8:G$43)</f>
        <v>1319773</v>
      </c>
      <c r="E12" s="33">
        <f>SUMIF('Entrada TD'!$E$8:$E$43,'Reliquidación TD'!$B12,'Entrada TD'!H$8:H$43)</f>
        <v>0</v>
      </c>
      <c r="F12" s="33">
        <f>SUMIF('Entrada TD'!$E$8:$E$43,'Reliquidación TD'!$B12,'Entrada TD'!I$8:I$43)</f>
        <v>0</v>
      </c>
      <c r="G12" s="33">
        <f>SUMIF('Entrada TD'!$E$8:$E$43,'Reliquidación TD'!$B12,'Entrada TD'!J$8:J$43)</f>
        <v>0</v>
      </c>
      <c r="H12" s="33">
        <v>0</v>
      </c>
      <c r="I12" s="33">
        <f t="shared" si="0"/>
        <v>0</v>
      </c>
      <c r="J12" s="33">
        <v>0</v>
      </c>
      <c r="K12" s="33">
        <f t="shared" ref="K12:K43" si="6">+J12*($I$4+1)</f>
        <v>0</v>
      </c>
      <c r="L12" s="33">
        <f t="shared" si="3"/>
        <v>0</v>
      </c>
      <c r="M12" s="33">
        <f t="shared" si="4"/>
        <v>0</v>
      </c>
      <c r="N12" s="33">
        <f t="shared" si="5"/>
        <v>0</v>
      </c>
      <c r="O12" s="33">
        <f t="shared" si="1"/>
        <v>0</v>
      </c>
      <c r="P12" s="33">
        <f t="shared" si="2"/>
        <v>0</v>
      </c>
    </row>
    <row r="13" spans="2:18" x14ac:dyDescent="0.3">
      <c r="B13" s="32" t="s">
        <v>18</v>
      </c>
      <c r="C13" s="33">
        <f>SUMIF('Entrada TD'!$E$8:$E$43,'Reliquidación TD'!$B13,'Entrada TD'!F$8:F$43)</f>
        <v>135352931.92899999</v>
      </c>
      <c r="D13" s="33">
        <f>SUMIF('Entrada TD'!$E$8:$E$43,'Reliquidación TD'!$B13,'Entrada TD'!G$8:G$43)</f>
        <v>461125550.36400002</v>
      </c>
      <c r="E13" s="33">
        <f>SUMIF('Entrada TD'!$E$8:$E$43,'Reliquidación TD'!$B13,'Entrada TD'!H$8:H$43)</f>
        <v>5508613.3389999997</v>
      </c>
      <c r="F13" s="33">
        <f>SUMIF('Entrada TD'!$E$8:$E$43,'Reliquidación TD'!$B13,'Entrada TD'!I$8:I$43)</f>
        <v>1055476.9820000001</v>
      </c>
      <c r="G13" s="33">
        <f>SUMIF('Entrada TD'!$E$8:$E$43,'Reliquidación TD'!$B13,'Entrada TD'!J$8:J$43)</f>
        <v>-330456.93209677358</v>
      </c>
      <c r="H13" s="33">
        <v>0</v>
      </c>
      <c r="I13" s="33">
        <f t="shared" si="0"/>
        <v>0</v>
      </c>
      <c r="J13" s="33">
        <v>0</v>
      </c>
      <c r="K13" s="33">
        <f t="shared" si="6"/>
        <v>0</v>
      </c>
      <c r="L13" s="33">
        <f t="shared" si="3"/>
        <v>-330456.93209677358</v>
      </c>
      <c r="M13" s="33">
        <f t="shared" si="4"/>
        <v>330456.93209677358</v>
      </c>
      <c r="N13" s="33">
        <f t="shared" si="5"/>
        <v>0</v>
      </c>
      <c r="O13" s="33">
        <f t="shared" si="1"/>
        <v>1180.3787578874696</v>
      </c>
      <c r="P13" s="33">
        <f t="shared" si="2"/>
        <v>-329276.55333888612</v>
      </c>
    </row>
    <row r="14" spans="2:18" x14ac:dyDescent="0.3">
      <c r="B14" s="32" t="s">
        <v>20</v>
      </c>
      <c r="C14" s="33">
        <f>SUMIF('Entrada TD'!$E$8:$E$43,'Reliquidación TD'!$B14,'Entrada TD'!F$8:F$43)</f>
        <v>158517.52100000001</v>
      </c>
      <c r="D14" s="33">
        <f>SUMIF('Entrada TD'!$E$8:$E$43,'Reliquidación TD'!$B14,'Entrada TD'!G$8:G$43)</f>
        <v>904819.30099999998</v>
      </c>
      <c r="E14" s="33">
        <f>SUMIF('Entrada TD'!$E$8:$E$43,'Reliquidación TD'!$B14,'Entrada TD'!H$8:H$43)</f>
        <v>0</v>
      </c>
      <c r="F14" s="33">
        <f>SUMIF('Entrada TD'!$E$8:$E$43,'Reliquidación TD'!$B14,'Entrada TD'!I$8:I$43)</f>
        <v>0</v>
      </c>
      <c r="G14" s="33">
        <f>SUMIF('Entrada TD'!$E$8:$E$43,'Reliquidación TD'!$B14,'Entrada TD'!J$8:J$43)</f>
        <v>0</v>
      </c>
      <c r="H14" s="33">
        <v>0</v>
      </c>
      <c r="I14" s="33">
        <f>H14*($I$4+1)</f>
        <v>0</v>
      </c>
      <c r="J14" s="33">
        <v>0</v>
      </c>
      <c r="K14" s="33">
        <f t="shared" si="6"/>
        <v>0</v>
      </c>
      <c r="L14" s="33">
        <f t="shared" si="3"/>
        <v>0</v>
      </c>
      <c r="M14" s="33">
        <f t="shared" si="4"/>
        <v>0</v>
      </c>
      <c r="N14" s="33">
        <f t="shared" si="5"/>
        <v>0</v>
      </c>
      <c r="O14" s="33">
        <f t="shared" si="1"/>
        <v>0</v>
      </c>
      <c r="P14" s="33">
        <f t="shared" si="2"/>
        <v>0</v>
      </c>
    </row>
    <row r="15" spans="2:18" x14ac:dyDescent="0.3">
      <c r="B15" s="32" t="s">
        <v>21</v>
      </c>
      <c r="C15" s="33">
        <f>SUMIF('Entrada TD'!$E$8:$E$43,'Reliquidación TD'!$B15,'Entrada TD'!F$8:F$43)</f>
        <v>10699553.1393271</v>
      </c>
      <c r="D15" s="33">
        <f>SUMIF('Entrada TD'!$E$8:$E$43,'Reliquidación TD'!$B15,'Entrada TD'!G$8:G$43)</f>
        <v>18872801.526999999</v>
      </c>
      <c r="E15" s="33">
        <f>SUMIF('Entrada TD'!$E$8:$E$43,'Reliquidación TD'!$B15,'Entrada TD'!H$8:H$43)</f>
        <v>612991.97100000002</v>
      </c>
      <c r="F15" s="33">
        <f>SUMIF('Entrada TD'!$E$8:$E$43,'Reliquidación TD'!$B15,'Entrada TD'!I$8:I$43)</f>
        <v>39995.288999999997</v>
      </c>
      <c r="G15" s="33">
        <f>SUMIF('Entrada TD'!$E$8:$E$43,'Reliquidación TD'!$B15,'Entrada TD'!J$8:J$43)</f>
        <v>4714.6831601005451</v>
      </c>
      <c r="H15" s="33">
        <v>0</v>
      </c>
      <c r="I15" s="33">
        <f t="shared" si="0"/>
        <v>0</v>
      </c>
      <c r="J15" s="33">
        <v>0</v>
      </c>
      <c r="K15" s="33">
        <f t="shared" si="6"/>
        <v>0</v>
      </c>
      <c r="L15" s="33">
        <f t="shared" si="3"/>
        <v>4714.6831601005451</v>
      </c>
      <c r="M15" s="33">
        <f t="shared" si="4"/>
        <v>0</v>
      </c>
      <c r="N15" s="33">
        <f t="shared" si="5"/>
        <v>4714.6831601005451</v>
      </c>
      <c r="O15" s="33">
        <f t="shared" si="1"/>
        <v>-4714.6831601005451</v>
      </c>
      <c r="P15" s="33">
        <f t="shared" si="2"/>
        <v>0</v>
      </c>
    </row>
    <row r="16" spans="2:18" x14ac:dyDescent="0.3">
      <c r="B16" s="32" t="s">
        <v>22</v>
      </c>
      <c r="C16" s="33">
        <f>SUMIF('Entrada TD'!$E$8:$E$43,'Reliquidación TD'!$B16,'Entrada TD'!F$8:F$43)</f>
        <v>0</v>
      </c>
      <c r="D16" s="33">
        <f>SUMIF('Entrada TD'!$E$8:$E$43,'Reliquidación TD'!$B16,'Entrada TD'!G$8:G$43)</f>
        <v>0</v>
      </c>
      <c r="E16" s="33">
        <f>SUMIF('Entrada TD'!$E$8:$E$43,'Reliquidación TD'!$B16,'Entrada TD'!H$8:H$43)</f>
        <v>0</v>
      </c>
      <c r="F16" s="33">
        <f>SUMIF('Entrada TD'!$E$8:$E$43,'Reliquidación TD'!$B16,'Entrada TD'!I$8:I$43)</f>
        <v>0</v>
      </c>
      <c r="G16" s="33">
        <f>SUMIF('Entrada TD'!$E$8:$E$43,'Reliquidación TD'!$B16,'Entrada TD'!J$8:J$43)</f>
        <v>0</v>
      </c>
      <c r="H16" s="33">
        <v>0</v>
      </c>
      <c r="I16" s="33">
        <f t="shared" si="0"/>
        <v>0</v>
      </c>
      <c r="J16" s="33">
        <v>0</v>
      </c>
      <c r="K16" s="33">
        <f t="shared" si="6"/>
        <v>0</v>
      </c>
      <c r="L16" s="33">
        <f t="shared" si="3"/>
        <v>0</v>
      </c>
      <c r="M16" s="33">
        <f t="shared" si="4"/>
        <v>0</v>
      </c>
      <c r="N16" s="33">
        <f t="shared" si="5"/>
        <v>0</v>
      </c>
      <c r="O16" s="33">
        <f t="shared" si="1"/>
        <v>0</v>
      </c>
      <c r="P16" s="33">
        <f t="shared" si="2"/>
        <v>0</v>
      </c>
    </row>
    <row r="17" spans="2:16" x14ac:dyDescent="0.3">
      <c r="B17" s="32" t="s">
        <v>23</v>
      </c>
      <c r="C17" s="33">
        <f>SUMIF('Entrada TD'!$E$8:$E$43,'Reliquidación TD'!$B17,'Entrada TD'!F$8:F$43)</f>
        <v>0</v>
      </c>
      <c r="D17" s="33">
        <f>SUMIF('Entrada TD'!$E$8:$E$43,'Reliquidación TD'!$B17,'Entrada TD'!G$8:G$43)</f>
        <v>0</v>
      </c>
      <c r="E17" s="33">
        <f>SUMIF('Entrada TD'!$E$8:$E$43,'Reliquidación TD'!$B17,'Entrada TD'!H$8:H$43)</f>
        <v>0</v>
      </c>
      <c r="F17" s="33">
        <f>SUMIF('Entrada TD'!$E$8:$E$43,'Reliquidación TD'!$B17,'Entrada TD'!I$8:I$43)</f>
        <v>0</v>
      </c>
      <c r="G17" s="33">
        <f>SUMIF('Entrada TD'!$E$8:$E$43,'Reliquidación TD'!$B17,'Entrada TD'!J$8:J$43)</f>
        <v>0</v>
      </c>
      <c r="H17" s="33">
        <v>0</v>
      </c>
      <c r="I17" s="33">
        <f t="shared" si="0"/>
        <v>0</v>
      </c>
      <c r="J17" s="33">
        <v>0</v>
      </c>
      <c r="K17" s="33">
        <f t="shared" si="6"/>
        <v>0</v>
      </c>
      <c r="L17" s="33">
        <f t="shared" si="3"/>
        <v>0</v>
      </c>
      <c r="M17" s="33">
        <f t="shared" si="4"/>
        <v>0</v>
      </c>
      <c r="N17" s="33">
        <f t="shared" si="5"/>
        <v>0</v>
      </c>
      <c r="O17" s="33">
        <f t="shared" si="1"/>
        <v>0</v>
      </c>
      <c r="P17" s="33">
        <f t="shared" si="2"/>
        <v>0</v>
      </c>
    </row>
    <row r="18" spans="2:16" x14ac:dyDescent="0.3">
      <c r="B18" s="32" t="s">
        <v>24</v>
      </c>
      <c r="C18" s="33">
        <f>SUMIF('Entrada TD'!$E$8:$E$43,'Reliquidación TD'!$B18,'Entrada TD'!F$8:F$43)+SUMIF('Entrada TD'!$E$8:$E$43,"LUZ ANDES",'Entrada TD'!F$8:F$43)</f>
        <v>106896174.19599999</v>
      </c>
      <c r="D18" s="33">
        <f>SUMIF('Entrada TD'!$E$8:$E$43,'Reliquidación TD'!$B18,'Entrada TD'!G$8:G$43)+SUMIF('Entrada TD'!$E$8:$E$43,"LUZ ANDES",'Entrada TD'!G$8:G$43)</f>
        <v>546550889.21145499</v>
      </c>
      <c r="E18" s="33">
        <f>SUMIF('Entrada TD'!$E$8:$E$43,'Reliquidación TD'!$B18,'Entrada TD'!H$8:H$43)+SUMIF('Entrada TD'!$E$8:$E$43,"LUZ ANDES",'Entrada TD'!H$8:H$43)</f>
        <v>294860.86</v>
      </c>
      <c r="F18" s="33">
        <f>SUMIF('Entrada TD'!$E$8:$E$43,'Reliquidación TD'!$B18,'Entrada TD'!I$8:I$43)+SUMIF('Entrada TD'!$E$8:$E$43,"LUZ ANDES",'Entrada TD'!I$8:I$43)</f>
        <v>1324167.1939999999</v>
      </c>
      <c r="G18" s="33">
        <f>SUMIF('Entrada TD'!$E$8:$E$43,'Reliquidación TD'!$B18,'Entrada TD'!J$8:J$43)+SUMIF('Entrada TD'!$E$8:$E$43,"LUZ ANDES",'Entrada TD'!J$8:J$43)</f>
        <v>172360.01544065701</v>
      </c>
      <c r="H18" s="33">
        <v>0</v>
      </c>
      <c r="I18" s="33">
        <f t="shared" si="0"/>
        <v>0</v>
      </c>
      <c r="J18" s="33">
        <v>0</v>
      </c>
      <c r="K18" s="33">
        <f t="shared" si="6"/>
        <v>0</v>
      </c>
      <c r="L18" s="33">
        <f t="shared" si="3"/>
        <v>172360.01544065701</v>
      </c>
      <c r="M18" s="33">
        <f t="shared" si="4"/>
        <v>0</v>
      </c>
      <c r="N18" s="33">
        <f t="shared" si="5"/>
        <v>172360.01544065701</v>
      </c>
      <c r="O18" s="33">
        <f t="shared" si="1"/>
        <v>-172360.01544065701</v>
      </c>
      <c r="P18" s="33">
        <f t="shared" si="2"/>
        <v>0</v>
      </c>
    </row>
    <row r="19" spans="2:16" x14ac:dyDescent="0.3">
      <c r="B19" s="32" t="s">
        <v>26</v>
      </c>
      <c r="C19" s="33">
        <f>SUMIF('Entrada TD'!$E$8:$E$43,'Reliquidación TD'!$B19,'Entrada TD'!F$8:F$43)</f>
        <v>34143317.086000003</v>
      </c>
      <c r="D19" s="33">
        <f>SUMIF('Entrada TD'!$E$8:$E$43,'Reliquidación TD'!$B19,'Entrada TD'!G$8:G$43)</f>
        <v>67997616.605000004</v>
      </c>
      <c r="E19" s="33">
        <f>SUMIF('Entrada TD'!$E$8:$E$43,'Reliquidación TD'!$B19,'Entrada TD'!H$8:H$43)</f>
        <v>1527233.5549999999</v>
      </c>
      <c r="F19" s="33">
        <f>SUMIF('Entrada TD'!$E$8:$E$43,'Reliquidación TD'!$B19,'Entrada TD'!I$8:I$43)</f>
        <v>148459.09400000001</v>
      </c>
      <c r="G19" s="33">
        <f>SUMIF('Entrada TD'!$E$8:$E$43,'Reliquidación TD'!$B19,'Entrada TD'!J$8:J$43)</f>
        <v>15315.763465720151</v>
      </c>
      <c r="H19" s="33">
        <v>0</v>
      </c>
      <c r="I19" s="33">
        <f t="shared" si="0"/>
        <v>0</v>
      </c>
      <c r="J19" s="33">
        <v>0</v>
      </c>
      <c r="K19" s="33">
        <f t="shared" si="6"/>
        <v>0</v>
      </c>
      <c r="L19" s="33">
        <f t="shared" si="3"/>
        <v>15315.763465720151</v>
      </c>
      <c r="M19" s="33">
        <f t="shared" si="4"/>
        <v>0</v>
      </c>
      <c r="N19" s="33">
        <f t="shared" si="5"/>
        <v>15315.763465720151</v>
      </c>
      <c r="O19" s="33">
        <f t="shared" si="1"/>
        <v>-15315.763465720149</v>
      </c>
      <c r="P19" s="33">
        <f t="shared" si="2"/>
        <v>0</v>
      </c>
    </row>
    <row r="20" spans="2:16" x14ac:dyDescent="0.3">
      <c r="B20" s="32" t="s">
        <v>27</v>
      </c>
      <c r="C20" s="33">
        <f>SUMIF('Entrada TD'!$E$8:$E$43,'Reliquidación TD'!$B20,'Entrada TD'!F$8:F$43)</f>
        <v>3206338.7379999999</v>
      </c>
      <c r="D20" s="33">
        <f>SUMIF('Entrada TD'!$E$8:$E$43,'Reliquidación TD'!$B20,'Entrada TD'!G$8:G$43)</f>
        <v>17558595.651999999</v>
      </c>
      <c r="E20" s="33">
        <f>SUMIF('Entrada TD'!$E$8:$E$43,'Reliquidación TD'!$B20,'Entrada TD'!H$8:H$43)</f>
        <v>8160</v>
      </c>
      <c r="F20" s="33">
        <f>SUMIF('Entrada TD'!$E$8:$E$43,'Reliquidación TD'!$B20,'Entrada TD'!I$8:I$43)</f>
        <v>19487.210999999999</v>
      </c>
      <c r="G20" s="33">
        <f>SUMIF('Entrada TD'!$E$8:$E$43,'Reliquidación TD'!$B20,'Entrada TD'!J$8:J$43)</f>
        <v>-49.621109132714139</v>
      </c>
      <c r="H20" s="33">
        <v>0</v>
      </c>
      <c r="I20" s="33">
        <f t="shared" si="0"/>
        <v>0</v>
      </c>
      <c r="J20" s="33">
        <v>0</v>
      </c>
      <c r="K20" s="33">
        <f t="shared" si="6"/>
        <v>0</v>
      </c>
      <c r="L20" s="33">
        <f t="shared" si="3"/>
        <v>-49.621109132714139</v>
      </c>
      <c r="M20" s="33">
        <f t="shared" si="4"/>
        <v>49.621109132714139</v>
      </c>
      <c r="N20" s="33">
        <f t="shared" si="5"/>
        <v>0</v>
      </c>
      <c r="O20" s="33">
        <f t="shared" si="1"/>
        <v>0.17724458915547608</v>
      </c>
      <c r="P20" s="33">
        <f t="shared" si="2"/>
        <v>-49.443864543558661</v>
      </c>
    </row>
    <row r="21" spans="2:16" x14ac:dyDescent="0.3">
      <c r="B21" s="32" t="s">
        <v>28</v>
      </c>
      <c r="C21" s="33">
        <f>SUMIF('Entrada TD'!$E$8:$E$43,'Reliquidación TD'!$B21,'Entrada TD'!F$8:F$43)</f>
        <v>0</v>
      </c>
      <c r="D21" s="33">
        <f>SUMIF('Entrada TD'!$E$8:$E$43,'Reliquidación TD'!$B21,'Entrada TD'!G$8:G$43)</f>
        <v>0</v>
      </c>
      <c r="E21" s="33">
        <f>SUMIF('Entrada TD'!$E$8:$E$43,'Reliquidación TD'!$B21,'Entrada TD'!H$8:H$43)</f>
        <v>0</v>
      </c>
      <c r="F21" s="33">
        <f>SUMIF('Entrada TD'!$E$8:$E$43,'Reliquidación TD'!$B21,'Entrada TD'!I$8:I$43)</f>
        <v>0</v>
      </c>
      <c r="G21" s="33">
        <f>SUMIF('Entrada TD'!$E$8:$E$43,'Reliquidación TD'!$B21,'Entrada TD'!J$8:J$43)</f>
        <v>0</v>
      </c>
      <c r="H21" s="33">
        <v>0</v>
      </c>
      <c r="I21" s="33">
        <f t="shared" si="0"/>
        <v>0</v>
      </c>
      <c r="J21" s="33">
        <v>0</v>
      </c>
      <c r="K21" s="33">
        <f t="shared" si="6"/>
        <v>0</v>
      </c>
      <c r="L21" s="33">
        <f t="shared" si="3"/>
        <v>0</v>
      </c>
      <c r="M21" s="33">
        <f t="shared" si="4"/>
        <v>0</v>
      </c>
      <c r="N21" s="33">
        <f t="shared" si="5"/>
        <v>0</v>
      </c>
      <c r="O21" s="33">
        <f t="shared" si="1"/>
        <v>0</v>
      </c>
      <c r="P21" s="33">
        <f t="shared" si="2"/>
        <v>0</v>
      </c>
    </row>
    <row r="22" spans="2:16" x14ac:dyDescent="0.3">
      <c r="B22" s="32" t="s">
        <v>29</v>
      </c>
      <c r="C22" s="33">
        <f>SUMIF('Entrada TD'!$E$8:$E$43,'Reliquidación TD'!$B22,'Entrada TD'!F$8:F$43)</f>
        <v>1471077</v>
      </c>
      <c r="D22" s="33">
        <f>SUMIF('Entrada TD'!$E$8:$E$43,'Reliquidación TD'!$B22,'Entrada TD'!G$8:G$43)</f>
        <v>8457923</v>
      </c>
      <c r="E22" s="33">
        <f>SUMIF('Entrada TD'!$E$8:$E$43,'Reliquidación TD'!$B22,'Entrada TD'!H$8:H$43)</f>
        <v>149</v>
      </c>
      <c r="F22" s="33">
        <f>SUMIF('Entrada TD'!$E$8:$E$43,'Reliquidación TD'!$B22,'Entrada TD'!I$8:I$43)</f>
        <v>7093</v>
      </c>
      <c r="G22" s="33">
        <f>SUMIF('Entrada TD'!$E$8:$E$43,'Reliquidación TD'!$B22,'Entrada TD'!J$8:J$43)</f>
        <v>0</v>
      </c>
      <c r="H22" s="33">
        <v>0</v>
      </c>
      <c r="I22" s="33">
        <f t="shared" si="0"/>
        <v>0</v>
      </c>
      <c r="J22" s="33">
        <v>0</v>
      </c>
      <c r="K22" s="33">
        <f t="shared" si="6"/>
        <v>0</v>
      </c>
      <c r="L22" s="33">
        <f t="shared" si="3"/>
        <v>0</v>
      </c>
      <c r="M22" s="33">
        <f t="shared" si="4"/>
        <v>0</v>
      </c>
      <c r="N22" s="33">
        <f t="shared" si="5"/>
        <v>0</v>
      </c>
      <c r="O22" s="33">
        <f t="shared" si="1"/>
        <v>0</v>
      </c>
      <c r="P22" s="33">
        <f t="shared" si="2"/>
        <v>0</v>
      </c>
    </row>
    <row r="23" spans="2:16" x14ac:dyDescent="0.3">
      <c r="B23" s="32" t="s">
        <v>30</v>
      </c>
      <c r="C23" s="33">
        <f>SUMIF('Entrada TD'!$E$8:$E$43,'Reliquidación TD'!$B23,'Entrada TD'!F$8:F$43)</f>
        <v>4751790</v>
      </c>
      <c r="D23" s="33">
        <f>SUMIF('Entrada TD'!$E$8:$E$43,'Reliquidación TD'!$B23,'Entrada TD'!G$8:G$43)</f>
        <v>12830052</v>
      </c>
      <c r="E23" s="33">
        <f>SUMIF('Entrada TD'!$E$8:$E$43,'Reliquidación TD'!$B23,'Entrada TD'!H$8:H$43)</f>
        <v>587072</v>
      </c>
      <c r="F23" s="33">
        <f>SUMIF('Entrada TD'!$E$8:$E$43,'Reliquidación TD'!$B23,'Entrada TD'!I$8:I$43)</f>
        <v>144840</v>
      </c>
      <c r="G23" s="33">
        <f>SUMIF('Entrada TD'!$E$8:$E$43,'Reliquidación TD'!$B23,'Entrada TD'!J$8:J$43)</f>
        <v>0</v>
      </c>
      <c r="H23" s="33">
        <v>0</v>
      </c>
      <c r="I23" s="33">
        <f t="shared" si="0"/>
        <v>0</v>
      </c>
      <c r="J23" s="33">
        <v>0</v>
      </c>
      <c r="K23" s="33">
        <f t="shared" si="6"/>
        <v>0</v>
      </c>
      <c r="L23" s="33">
        <f t="shared" si="3"/>
        <v>0</v>
      </c>
      <c r="M23" s="33">
        <f t="shared" si="4"/>
        <v>0</v>
      </c>
      <c r="N23" s="33">
        <f t="shared" si="5"/>
        <v>0</v>
      </c>
      <c r="O23" s="33">
        <f t="shared" si="1"/>
        <v>0</v>
      </c>
      <c r="P23" s="33">
        <f t="shared" si="2"/>
        <v>0</v>
      </c>
    </row>
    <row r="24" spans="2:16" x14ac:dyDescent="0.3">
      <c r="B24" s="32" t="s">
        <v>31</v>
      </c>
      <c r="C24" s="33">
        <f>SUMIF('Entrada TD'!$E$8:$E$43,'Reliquidación TD'!$B24,'Entrada TD'!F$8:F$43)</f>
        <v>1571701</v>
      </c>
      <c r="D24" s="33">
        <f>SUMIF('Entrada TD'!$E$8:$E$43,'Reliquidación TD'!$B24,'Entrada TD'!G$8:G$43)</f>
        <v>14400875</v>
      </c>
      <c r="E24" s="33">
        <f>SUMIF('Entrada TD'!$E$8:$E$43,'Reliquidación TD'!$B24,'Entrada TD'!H$8:H$43)</f>
        <v>42</v>
      </c>
      <c r="F24" s="33">
        <f>SUMIF('Entrada TD'!$E$8:$E$43,'Reliquidación TD'!$B24,'Entrada TD'!I$8:I$43)</f>
        <v>73423</v>
      </c>
      <c r="G24" s="33">
        <f>SUMIF('Entrada TD'!$E$8:$E$43,'Reliquidación TD'!$B24,'Entrada TD'!J$8:J$43)</f>
        <v>0</v>
      </c>
      <c r="H24" s="33">
        <v>0</v>
      </c>
      <c r="I24" s="33">
        <f t="shared" si="0"/>
        <v>0</v>
      </c>
      <c r="J24" s="33">
        <v>0</v>
      </c>
      <c r="K24" s="33">
        <f t="shared" si="6"/>
        <v>0</v>
      </c>
      <c r="L24" s="33">
        <f t="shared" si="3"/>
        <v>0</v>
      </c>
      <c r="M24" s="33">
        <f t="shared" si="4"/>
        <v>0</v>
      </c>
      <c r="N24" s="33">
        <f t="shared" si="5"/>
        <v>0</v>
      </c>
      <c r="O24" s="33">
        <f t="shared" si="1"/>
        <v>0</v>
      </c>
      <c r="P24" s="33">
        <f t="shared" si="2"/>
        <v>0</v>
      </c>
    </row>
    <row r="25" spans="2:16" x14ac:dyDescent="0.3">
      <c r="B25" s="32" t="s">
        <v>32</v>
      </c>
      <c r="C25" s="33">
        <f>SUMIF('Entrada TD'!$E$8:$E$43,'Reliquidación TD'!$B25,'Entrada TD'!F$8:F$43)</f>
        <v>914925</v>
      </c>
      <c r="D25" s="33">
        <f>SUMIF('Entrada TD'!$E$8:$E$43,'Reliquidación TD'!$B25,'Entrada TD'!G$8:G$43)</f>
        <v>2768158</v>
      </c>
      <c r="E25" s="33">
        <f>SUMIF('Entrada TD'!$E$8:$E$43,'Reliquidación TD'!$B25,'Entrada TD'!H$8:H$43)</f>
        <v>226653</v>
      </c>
      <c r="F25" s="33">
        <f>SUMIF('Entrada TD'!$E$8:$E$43,'Reliquidación TD'!$B25,'Entrada TD'!I$8:I$43)</f>
        <v>21393</v>
      </c>
      <c r="G25" s="33">
        <f>SUMIF('Entrada TD'!$E$8:$E$43,'Reliquidación TD'!$B25,'Entrada TD'!J$8:J$43)</f>
        <v>0</v>
      </c>
      <c r="H25" s="33">
        <v>0</v>
      </c>
      <c r="I25" s="33">
        <f t="shared" si="0"/>
        <v>0</v>
      </c>
      <c r="J25" s="33">
        <v>0</v>
      </c>
      <c r="K25" s="33">
        <f t="shared" si="6"/>
        <v>0</v>
      </c>
      <c r="L25" s="33">
        <f t="shared" si="3"/>
        <v>0</v>
      </c>
      <c r="M25" s="33">
        <f t="shared" si="4"/>
        <v>0</v>
      </c>
      <c r="N25" s="33">
        <f t="shared" si="5"/>
        <v>0</v>
      </c>
      <c r="O25" s="33">
        <f t="shared" si="1"/>
        <v>0</v>
      </c>
      <c r="P25" s="33">
        <f t="shared" si="2"/>
        <v>0</v>
      </c>
    </row>
    <row r="26" spans="2:16" x14ac:dyDescent="0.3">
      <c r="B26" s="32" t="s">
        <v>33</v>
      </c>
      <c r="C26" s="33">
        <f>SUMIF('Entrada TD'!$E$8:$E$43,'Reliquidación TD'!$B26,'Entrada TD'!F$8:F$43)</f>
        <v>1286656</v>
      </c>
      <c r="D26" s="33">
        <f>SUMIF('Entrada TD'!$E$8:$E$43,'Reliquidación TD'!$B26,'Entrada TD'!G$8:G$43)</f>
        <v>2274598</v>
      </c>
      <c r="E26" s="33">
        <f>SUMIF('Entrada TD'!$E$8:$E$43,'Reliquidación TD'!$B26,'Entrada TD'!H$8:H$43)</f>
        <v>75381</v>
      </c>
      <c r="F26" s="33">
        <f>SUMIF('Entrada TD'!$E$8:$E$43,'Reliquidación TD'!$B26,'Entrada TD'!I$8:I$43)</f>
        <v>8875</v>
      </c>
      <c r="G26" s="33">
        <f>SUMIF('Entrada TD'!$E$8:$E$43,'Reliquidación TD'!$B26,'Entrada TD'!J$8:J$43)</f>
        <v>0</v>
      </c>
      <c r="H26" s="33">
        <v>0</v>
      </c>
      <c r="I26" s="33">
        <f t="shared" si="0"/>
        <v>0</v>
      </c>
      <c r="J26" s="33">
        <v>0</v>
      </c>
      <c r="K26" s="33">
        <f t="shared" si="6"/>
        <v>0</v>
      </c>
      <c r="L26" s="33">
        <f t="shared" si="3"/>
        <v>0</v>
      </c>
      <c r="M26" s="33">
        <f t="shared" si="4"/>
        <v>0</v>
      </c>
      <c r="N26" s="33">
        <f t="shared" si="5"/>
        <v>0</v>
      </c>
      <c r="O26" s="33">
        <f t="shared" si="1"/>
        <v>0</v>
      </c>
      <c r="P26" s="33">
        <f t="shared" si="2"/>
        <v>0</v>
      </c>
    </row>
    <row r="27" spans="2:16" x14ac:dyDescent="0.3">
      <c r="B27" s="32" t="s">
        <v>34</v>
      </c>
      <c r="C27" s="33">
        <f>SUMIF('Entrada TD'!$E$8:$E$43,'Reliquidación TD'!$B27,'Entrada TD'!F$8:F$43)</f>
        <v>1463055</v>
      </c>
      <c r="D27" s="33">
        <f>SUMIF('Entrada TD'!$E$8:$E$43,'Reliquidación TD'!$B27,'Entrada TD'!G$8:G$43)</f>
        <v>6702899</v>
      </c>
      <c r="E27" s="33">
        <f>SUMIF('Entrada TD'!$E$8:$E$43,'Reliquidación TD'!$B27,'Entrada TD'!H$8:H$43)</f>
        <v>452947</v>
      </c>
      <c r="F27" s="33">
        <f>SUMIF('Entrada TD'!$E$8:$E$43,'Reliquidación TD'!$B27,'Entrada TD'!I$8:I$43)</f>
        <v>83409</v>
      </c>
      <c r="G27" s="33">
        <f>SUMIF('Entrada TD'!$E$8:$E$43,'Reliquidación TD'!$B27,'Entrada TD'!J$8:J$43)</f>
        <v>0</v>
      </c>
      <c r="H27" s="33">
        <v>0</v>
      </c>
      <c r="I27" s="33">
        <f t="shared" si="0"/>
        <v>0</v>
      </c>
      <c r="J27" s="33">
        <v>0</v>
      </c>
      <c r="K27" s="33">
        <f t="shared" si="6"/>
        <v>0</v>
      </c>
      <c r="L27" s="33">
        <f t="shared" si="3"/>
        <v>0</v>
      </c>
      <c r="M27" s="33">
        <f t="shared" si="4"/>
        <v>0</v>
      </c>
      <c r="N27" s="33">
        <f t="shared" si="5"/>
        <v>0</v>
      </c>
      <c r="O27" s="33">
        <f t="shared" si="1"/>
        <v>0</v>
      </c>
      <c r="P27" s="33">
        <f t="shared" si="2"/>
        <v>0</v>
      </c>
    </row>
    <row r="28" spans="2:16" x14ac:dyDescent="0.3">
      <c r="B28" s="32" t="s">
        <v>35</v>
      </c>
      <c r="C28" s="33">
        <f>SUMIF('Entrada TD'!$E$8:$E$43,'Reliquidación TD'!$B28,'Entrada TD'!F$8:F$43)</f>
        <v>19843499.850000001</v>
      </c>
      <c r="D28" s="33">
        <f>SUMIF('Entrada TD'!$E$8:$E$43,'Reliquidación TD'!$B28,'Entrada TD'!G$8:G$43)</f>
        <v>54383712.899999999</v>
      </c>
      <c r="E28" s="33">
        <f>SUMIF('Entrada TD'!$E$8:$E$43,'Reliquidación TD'!$B28,'Entrada TD'!H$8:H$43)</f>
        <v>345398.01299999998</v>
      </c>
      <c r="F28" s="33">
        <f>SUMIF('Entrada TD'!$E$8:$E$43,'Reliquidación TD'!$B28,'Entrada TD'!I$8:I$43)</f>
        <v>156948</v>
      </c>
      <c r="G28" s="33">
        <f>SUMIF('Entrada TD'!$E$8:$E$43,'Reliquidación TD'!$B28,'Entrada TD'!J$8:J$43)</f>
        <v>555.2603819699998</v>
      </c>
      <c r="H28" s="33">
        <v>0</v>
      </c>
      <c r="I28" s="33">
        <f t="shared" si="0"/>
        <v>0</v>
      </c>
      <c r="J28" s="33">
        <v>0</v>
      </c>
      <c r="K28" s="33">
        <f t="shared" si="6"/>
        <v>0</v>
      </c>
      <c r="L28" s="33">
        <f t="shared" si="3"/>
        <v>555.2603819699998</v>
      </c>
      <c r="M28" s="33">
        <f t="shared" si="4"/>
        <v>0</v>
      </c>
      <c r="N28" s="33">
        <f t="shared" si="5"/>
        <v>555.2603819699998</v>
      </c>
      <c r="O28" s="33">
        <f t="shared" si="1"/>
        <v>-555.2603819699998</v>
      </c>
      <c r="P28" s="33">
        <f t="shared" si="2"/>
        <v>0</v>
      </c>
    </row>
    <row r="29" spans="2:16" x14ac:dyDescent="0.3">
      <c r="B29" s="32" t="s">
        <v>36</v>
      </c>
      <c r="C29" s="33">
        <f>SUMIF('Entrada TD'!$E$8:$E$43,'Reliquidación TD'!$B29,'Entrada TD'!F$8:F$43)</f>
        <v>7133658.7800000003</v>
      </c>
      <c r="D29" s="33">
        <f>SUMIF('Entrada TD'!$E$8:$E$43,'Reliquidación TD'!$B29,'Entrada TD'!G$8:G$43)</f>
        <v>5963228.7599999998</v>
      </c>
      <c r="E29" s="33">
        <f>SUMIF('Entrada TD'!$E$8:$E$43,'Reliquidación TD'!$B29,'Entrada TD'!H$8:H$43)</f>
        <v>251094.44</v>
      </c>
      <c r="F29" s="33">
        <f>SUMIF('Entrada TD'!$E$8:$E$43,'Reliquidación TD'!$B29,'Entrada TD'!I$8:I$43)</f>
        <v>6185</v>
      </c>
      <c r="G29" s="33">
        <f>SUMIF('Entrada TD'!$E$8:$E$43,'Reliquidación TD'!$B29,'Entrada TD'!J$8:J$43)</f>
        <v>0</v>
      </c>
      <c r="H29" s="33">
        <v>0</v>
      </c>
      <c r="I29" s="33">
        <f t="shared" si="0"/>
        <v>0</v>
      </c>
      <c r="J29" s="33">
        <v>0</v>
      </c>
      <c r="K29" s="33">
        <f t="shared" si="6"/>
        <v>0</v>
      </c>
      <c r="L29" s="33">
        <f t="shared" si="3"/>
        <v>0</v>
      </c>
      <c r="M29" s="33">
        <f t="shared" si="4"/>
        <v>0</v>
      </c>
      <c r="N29" s="33">
        <f t="shared" si="5"/>
        <v>0</v>
      </c>
      <c r="O29" s="33">
        <f t="shared" si="1"/>
        <v>0</v>
      </c>
      <c r="P29" s="33">
        <f t="shared" si="2"/>
        <v>0</v>
      </c>
    </row>
    <row r="30" spans="2:16" x14ac:dyDescent="0.3">
      <c r="B30" s="32" t="s">
        <v>37</v>
      </c>
      <c r="C30" s="33">
        <f>SUMIF('Entrada TD'!$E$8:$E$43,'Reliquidación TD'!$B30,'Entrada TD'!F$8:F$43)</f>
        <v>39354660.060000002</v>
      </c>
      <c r="D30" s="33">
        <f>SUMIF('Entrada TD'!$E$8:$E$43,'Reliquidación TD'!$B30,'Entrada TD'!G$8:G$43)</f>
        <v>92812185.879999995</v>
      </c>
      <c r="E30" s="33">
        <f>SUMIF('Entrada TD'!$E$8:$E$43,'Reliquidación TD'!$B30,'Entrada TD'!H$8:H$43)</f>
        <v>214538.76500000001</v>
      </c>
      <c r="F30" s="33">
        <f>SUMIF('Entrada TD'!$E$8:$E$43,'Reliquidación TD'!$B30,'Entrada TD'!I$8:I$43)</f>
        <v>169489.5</v>
      </c>
      <c r="G30" s="33">
        <f>SUMIF('Entrada TD'!$E$8:$E$43,'Reliquidación TD'!$B30,'Entrada TD'!J$8:J$43)</f>
        <v>0</v>
      </c>
      <c r="H30" s="33">
        <v>0</v>
      </c>
      <c r="I30" s="33">
        <f t="shared" si="0"/>
        <v>0</v>
      </c>
      <c r="J30" s="33">
        <v>0</v>
      </c>
      <c r="K30" s="33">
        <f t="shared" si="6"/>
        <v>0</v>
      </c>
      <c r="L30" s="33">
        <f t="shared" si="3"/>
        <v>0</v>
      </c>
      <c r="M30" s="33">
        <f t="shared" si="4"/>
        <v>0</v>
      </c>
      <c r="N30" s="33">
        <f t="shared" si="5"/>
        <v>0</v>
      </c>
      <c r="O30" s="33">
        <f t="shared" si="1"/>
        <v>0</v>
      </c>
      <c r="P30" s="33">
        <f t="shared" si="2"/>
        <v>0</v>
      </c>
    </row>
    <row r="31" spans="2:16" x14ac:dyDescent="0.3">
      <c r="B31" s="32" t="s">
        <v>38</v>
      </c>
      <c r="C31" s="33">
        <f>SUMIF('Entrada TD'!$E$8:$E$43,'Reliquidación TD'!$B31,'Entrada TD'!F$8:F$43)</f>
        <v>1443824</v>
      </c>
      <c r="D31" s="33">
        <f>SUMIF('Entrada TD'!$E$8:$E$43,'Reliquidación TD'!$B31,'Entrada TD'!G$8:G$43)</f>
        <v>3055711</v>
      </c>
      <c r="E31" s="33">
        <f>SUMIF('Entrada TD'!$E$8:$E$43,'Reliquidación TD'!$B31,'Entrada TD'!H$8:H$43)</f>
        <v>43473</v>
      </c>
      <c r="F31" s="33">
        <f>SUMIF('Entrada TD'!$E$8:$E$43,'Reliquidación TD'!$B31,'Entrada TD'!I$8:I$43)</f>
        <v>12997</v>
      </c>
      <c r="G31" s="33">
        <f>SUMIF('Entrada TD'!$E$8:$E$43,'Reliquidación TD'!$B31,'Entrada TD'!J$8:J$43)</f>
        <v>0</v>
      </c>
      <c r="H31" s="33">
        <v>0</v>
      </c>
      <c r="I31" s="33">
        <f t="shared" si="0"/>
        <v>0</v>
      </c>
      <c r="J31" s="33">
        <v>0</v>
      </c>
      <c r="K31" s="33">
        <f t="shared" si="6"/>
        <v>0</v>
      </c>
      <c r="L31" s="33">
        <f t="shared" si="3"/>
        <v>0</v>
      </c>
      <c r="M31" s="33">
        <f t="shared" si="4"/>
        <v>0</v>
      </c>
      <c r="N31" s="33">
        <f t="shared" si="5"/>
        <v>0</v>
      </c>
      <c r="O31" s="33">
        <f t="shared" si="1"/>
        <v>0</v>
      </c>
      <c r="P31" s="33">
        <f t="shared" si="2"/>
        <v>0</v>
      </c>
    </row>
    <row r="32" spans="2:16" x14ac:dyDescent="0.3">
      <c r="B32" s="32" t="s">
        <v>39</v>
      </c>
      <c r="C32" s="33">
        <f>SUMIF('Entrada TD'!$E$8:$E$43,'Reliquidación TD'!$B32,'Entrada TD'!F$8:F$43)</f>
        <v>36541776.799900003</v>
      </c>
      <c r="D32" s="33">
        <f>SUMIF('Entrada TD'!$E$8:$E$43,'Reliquidación TD'!$B32,'Entrada TD'!G$8:G$43)</f>
        <v>128663570.79539999</v>
      </c>
      <c r="E32" s="33">
        <f>SUMIF('Entrada TD'!$E$8:$E$43,'Reliquidación TD'!$B32,'Entrada TD'!H$8:H$43)</f>
        <v>2135002.7999999998</v>
      </c>
      <c r="F32" s="33">
        <f>SUMIF('Entrada TD'!$E$8:$E$43,'Reliquidación TD'!$B32,'Entrada TD'!I$8:I$43)</f>
        <v>541320.1</v>
      </c>
      <c r="G32" s="33">
        <f>SUMIF('Entrada TD'!$E$8:$E$43,'Reliquidación TD'!$B32,'Entrada TD'!J$8:J$43)</f>
        <v>5538.9606350515924</v>
      </c>
      <c r="H32" s="33">
        <v>0</v>
      </c>
      <c r="I32" s="33">
        <f t="shared" si="0"/>
        <v>0</v>
      </c>
      <c r="J32" s="33">
        <v>0</v>
      </c>
      <c r="K32" s="33">
        <f t="shared" si="6"/>
        <v>0</v>
      </c>
      <c r="L32" s="33">
        <f t="shared" si="3"/>
        <v>5538.9606350515924</v>
      </c>
      <c r="M32" s="33">
        <f t="shared" si="4"/>
        <v>0</v>
      </c>
      <c r="N32" s="33">
        <f t="shared" si="5"/>
        <v>5538.9606350515924</v>
      </c>
      <c r="O32" s="33">
        <f t="shared" si="1"/>
        <v>-5538.9606350515924</v>
      </c>
      <c r="P32" s="33">
        <f t="shared" si="2"/>
        <v>0</v>
      </c>
    </row>
    <row r="33" spans="2:16" x14ac:dyDescent="0.3">
      <c r="B33" s="32" t="s">
        <v>40</v>
      </c>
      <c r="C33" s="33">
        <f>SUMIF('Entrada TD'!$E$8:$E$43,'Reliquidación TD'!$B33,'Entrada TD'!F$8:F$43)</f>
        <v>1475178.1</v>
      </c>
      <c r="D33" s="33">
        <f>SUMIF('Entrada TD'!$E$8:$E$43,'Reliquidación TD'!$B33,'Entrada TD'!G$8:G$43)</f>
        <v>2100617</v>
      </c>
      <c r="E33" s="33">
        <f>SUMIF('Entrada TD'!$E$8:$E$43,'Reliquidación TD'!$B33,'Entrada TD'!H$8:H$43)</f>
        <v>44500</v>
      </c>
      <c r="F33" s="33">
        <f>SUMIF('Entrada TD'!$E$8:$E$43,'Reliquidación TD'!$B33,'Entrada TD'!I$8:I$43)</f>
        <v>101631</v>
      </c>
      <c r="G33" s="33">
        <f>SUMIF('Entrada TD'!$E$8:$E$43,'Reliquidación TD'!$B33,'Entrada TD'!J$8:J$43)</f>
        <v>0</v>
      </c>
      <c r="H33" s="33">
        <v>0</v>
      </c>
      <c r="I33" s="33">
        <f t="shared" si="0"/>
        <v>0</v>
      </c>
      <c r="J33" s="33">
        <v>0</v>
      </c>
      <c r="K33" s="33">
        <f t="shared" si="6"/>
        <v>0</v>
      </c>
      <c r="L33" s="33">
        <f t="shared" si="3"/>
        <v>0</v>
      </c>
      <c r="M33" s="33">
        <f t="shared" si="4"/>
        <v>0</v>
      </c>
      <c r="N33" s="33">
        <f t="shared" si="5"/>
        <v>0</v>
      </c>
      <c r="O33" s="33">
        <f t="shared" si="1"/>
        <v>0</v>
      </c>
      <c r="P33" s="33">
        <f t="shared" si="2"/>
        <v>0</v>
      </c>
    </row>
    <row r="34" spans="2:16" x14ac:dyDescent="0.3">
      <c r="B34" s="32" t="s">
        <v>41</v>
      </c>
      <c r="C34" s="33">
        <f>SUMIF('Entrada TD'!$E$8:$E$43,'Reliquidación TD'!$B34,'Entrada TD'!F$8:F$43)</f>
        <v>1194031.6000000001</v>
      </c>
      <c r="D34" s="33">
        <f>SUMIF('Entrada TD'!$E$8:$E$43,'Reliquidación TD'!$B34,'Entrada TD'!G$8:G$43)</f>
        <v>8896470.5328899994</v>
      </c>
      <c r="E34" s="33">
        <f>SUMIF('Entrada TD'!$E$8:$E$43,'Reliquidación TD'!$B34,'Entrada TD'!H$8:H$43)</f>
        <v>4586</v>
      </c>
      <c r="F34" s="33">
        <f>SUMIF('Entrada TD'!$E$8:$E$43,'Reliquidación TD'!$B34,'Entrada TD'!I$8:I$43)</f>
        <v>29757</v>
      </c>
      <c r="G34" s="33">
        <f>SUMIF('Entrada TD'!$E$8:$E$43,'Reliquidación TD'!$B34,'Entrada TD'!J$8:J$43)</f>
        <v>2020.459487288859</v>
      </c>
      <c r="H34" s="33">
        <v>0</v>
      </c>
      <c r="I34" s="33">
        <f t="shared" si="0"/>
        <v>0</v>
      </c>
      <c r="J34" s="33">
        <v>0</v>
      </c>
      <c r="K34" s="33">
        <f t="shared" si="6"/>
        <v>0</v>
      </c>
      <c r="L34" s="33">
        <f t="shared" si="3"/>
        <v>2020.459487288859</v>
      </c>
      <c r="M34" s="33">
        <f t="shared" si="4"/>
        <v>0</v>
      </c>
      <c r="N34" s="33">
        <f t="shared" si="5"/>
        <v>2020.459487288859</v>
      </c>
      <c r="O34" s="33">
        <f t="shared" si="1"/>
        <v>-2020.4594872888592</v>
      </c>
      <c r="P34" s="33">
        <f t="shared" si="2"/>
        <v>0</v>
      </c>
    </row>
    <row r="35" spans="2:16" x14ac:dyDescent="0.3">
      <c r="B35" s="32" t="s">
        <v>42</v>
      </c>
      <c r="C35" s="33">
        <f>SUMIF('Entrada TD'!$E$8:$E$43,'Reliquidación TD'!$B35,'Entrada TD'!F$8:F$43)</f>
        <v>1197237</v>
      </c>
      <c r="D35" s="33">
        <f>SUMIF('Entrada TD'!$E$8:$E$43,'Reliquidación TD'!$B35,'Entrada TD'!G$8:G$43)</f>
        <v>6485116.0861</v>
      </c>
      <c r="E35" s="33">
        <f>SUMIF('Entrada TD'!$E$8:$E$43,'Reliquidación TD'!$B35,'Entrada TD'!H$8:H$43)</f>
        <v>208213</v>
      </c>
      <c r="F35" s="33">
        <f>SUMIF('Entrada TD'!$E$8:$E$43,'Reliquidación TD'!$B35,'Entrada TD'!I$8:I$43)</f>
        <v>24801</v>
      </c>
      <c r="G35" s="33">
        <f>SUMIF('Entrada TD'!$E$8:$E$43,'Reliquidación TD'!$B35,'Entrada TD'!J$8:J$43)</f>
        <v>980.23075180656463</v>
      </c>
      <c r="H35" s="33">
        <v>0</v>
      </c>
      <c r="I35" s="33">
        <f t="shared" si="0"/>
        <v>0</v>
      </c>
      <c r="J35" s="33">
        <v>0</v>
      </c>
      <c r="K35" s="33">
        <f t="shared" si="6"/>
        <v>0</v>
      </c>
      <c r="L35" s="33">
        <f t="shared" si="3"/>
        <v>980.23075180656463</v>
      </c>
      <c r="M35" s="33">
        <f t="shared" si="4"/>
        <v>0</v>
      </c>
      <c r="N35" s="33">
        <f t="shared" si="5"/>
        <v>980.23075180656463</v>
      </c>
      <c r="O35" s="33">
        <f t="shared" si="1"/>
        <v>-980.23075180656463</v>
      </c>
      <c r="P35" s="33">
        <f t="shared" si="2"/>
        <v>0</v>
      </c>
    </row>
    <row r="36" spans="2:16" x14ac:dyDescent="0.3">
      <c r="B36" s="32" t="s">
        <v>43</v>
      </c>
      <c r="C36" s="33">
        <f>SUMIF('Entrada TD'!$E$8:$E$43,'Reliquidación TD'!$B36,'Entrada TD'!F$8:F$43)</f>
        <v>1872112.5</v>
      </c>
      <c r="D36" s="33">
        <f>SUMIF('Entrada TD'!$E$8:$E$43,'Reliquidación TD'!$B36,'Entrada TD'!G$8:G$43)</f>
        <v>4353240.0689000003</v>
      </c>
      <c r="E36" s="33">
        <f>SUMIF('Entrada TD'!$E$8:$E$43,'Reliquidación TD'!$B36,'Entrada TD'!H$8:H$43)</f>
        <v>668120.6</v>
      </c>
      <c r="F36" s="33">
        <f>SUMIF('Entrada TD'!$E$8:$E$43,'Reliquidación TD'!$B36,'Entrada TD'!I$8:I$43)</f>
        <v>58921.3</v>
      </c>
      <c r="G36" s="33">
        <f>SUMIF('Entrada TD'!$E$8:$E$43,'Reliquidación TD'!$B36,'Entrada TD'!J$8:J$43)</f>
        <v>3645.160805360199</v>
      </c>
      <c r="H36" s="33">
        <v>0</v>
      </c>
      <c r="I36" s="33">
        <f t="shared" si="0"/>
        <v>0</v>
      </c>
      <c r="J36" s="33">
        <v>0</v>
      </c>
      <c r="K36" s="33">
        <f t="shared" si="6"/>
        <v>0</v>
      </c>
      <c r="L36" s="33">
        <f t="shared" si="3"/>
        <v>3645.160805360199</v>
      </c>
      <c r="M36" s="33">
        <f t="shared" si="4"/>
        <v>0</v>
      </c>
      <c r="N36" s="33">
        <f t="shared" si="5"/>
        <v>3645.160805360199</v>
      </c>
      <c r="O36" s="33">
        <f t="shared" si="1"/>
        <v>-3645.1608053601985</v>
      </c>
      <c r="P36" s="33">
        <f t="shared" si="2"/>
        <v>0</v>
      </c>
    </row>
    <row r="37" spans="2:16" x14ac:dyDescent="0.3">
      <c r="B37" s="32" t="s">
        <v>45</v>
      </c>
      <c r="C37" s="33">
        <f>SUMIF('Entrada TD'!$E$8:$E$43,'Reliquidación TD'!$B37,'Entrada TD'!F$8:F$43)</f>
        <v>461393</v>
      </c>
      <c r="D37" s="33">
        <f>SUMIF('Entrada TD'!$E$8:$E$43,'Reliquidación TD'!$B37,'Entrada TD'!G$8:G$43)</f>
        <v>822365</v>
      </c>
      <c r="E37" s="33">
        <f>SUMIF('Entrada TD'!$E$8:$E$43,'Reliquidación TD'!$B37,'Entrada TD'!H$8:H$43)</f>
        <v>35744</v>
      </c>
      <c r="F37" s="33">
        <f>SUMIF('Entrada TD'!$E$8:$E$43,'Reliquidación TD'!$B37,'Entrada TD'!I$8:I$43)</f>
        <v>10574</v>
      </c>
      <c r="G37" s="33">
        <f>SUMIF('Entrada TD'!$E$8:$E$43,'Reliquidación TD'!$B37,'Entrada TD'!J$8:J$43)</f>
        <v>0</v>
      </c>
      <c r="H37" s="33">
        <v>0</v>
      </c>
      <c r="I37" s="33">
        <f t="shared" si="0"/>
        <v>0</v>
      </c>
      <c r="J37" s="33">
        <v>0</v>
      </c>
      <c r="K37" s="33">
        <f t="shared" si="6"/>
        <v>0</v>
      </c>
      <c r="L37" s="33">
        <f t="shared" si="3"/>
        <v>0</v>
      </c>
      <c r="M37" s="33">
        <f t="shared" si="4"/>
        <v>0</v>
      </c>
      <c r="N37" s="33">
        <f t="shared" si="5"/>
        <v>0</v>
      </c>
      <c r="O37" s="33">
        <f t="shared" si="1"/>
        <v>0</v>
      </c>
      <c r="P37" s="33">
        <f t="shared" si="2"/>
        <v>0</v>
      </c>
    </row>
    <row r="38" spans="2:16" x14ac:dyDescent="0.3">
      <c r="B38" s="32" t="s">
        <v>46</v>
      </c>
      <c r="C38" s="33">
        <f>SUMIF('Entrada TD'!$E$8:$E$43,'Reliquidación TD'!$B38,'Entrada TD'!F$8:F$43)</f>
        <v>3961195.628</v>
      </c>
      <c r="D38" s="33">
        <f>SUMIF('Entrada TD'!$E$8:$E$43,'Reliquidación TD'!$B38,'Entrada TD'!G$8:G$43)</f>
        <v>16909394.219999999</v>
      </c>
      <c r="E38" s="33">
        <f>SUMIF('Entrada TD'!$E$8:$E$43,'Reliquidación TD'!$B38,'Entrada TD'!H$8:H$43)</f>
        <v>23031</v>
      </c>
      <c r="F38" s="33">
        <f>SUMIF('Entrada TD'!$E$8:$E$43,'Reliquidación TD'!$B38,'Entrada TD'!I$8:I$43)</f>
        <v>27201.012999999999</v>
      </c>
      <c r="G38" s="33">
        <f>SUMIF('Entrada TD'!$E$8:$E$43,'Reliquidación TD'!$B38,'Entrada TD'!J$8:J$43)</f>
        <v>-1370.82550557492</v>
      </c>
      <c r="H38" s="33">
        <v>0</v>
      </c>
      <c r="I38" s="33">
        <f t="shared" si="0"/>
        <v>0</v>
      </c>
      <c r="J38" s="33">
        <v>0</v>
      </c>
      <c r="K38" s="33">
        <f t="shared" si="6"/>
        <v>0</v>
      </c>
      <c r="L38" s="33">
        <f t="shared" si="3"/>
        <v>-1370.82550557492</v>
      </c>
      <c r="M38" s="33">
        <f>IF(L38&lt;0,-L38,0)</f>
        <v>1370.82550557492</v>
      </c>
      <c r="N38" s="33">
        <f>IF(L38&gt;0,L38,0)</f>
        <v>0</v>
      </c>
      <c r="O38" s="33">
        <f t="shared" si="1"/>
        <v>4.896533104280989</v>
      </c>
      <c r="P38" s="33">
        <f t="shared" si="2"/>
        <v>-1365.9289724706391</v>
      </c>
    </row>
    <row r="39" spans="2:16" x14ac:dyDescent="0.3">
      <c r="B39" s="32" t="s">
        <v>47</v>
      </c>
      <c r="C39" s="33">
        <f>SUMIF('Entrada TD'!$E$8:$E$43,'Reliquidación TD'!$B39,'Entrada TD'!F$8:F$43)</f>
        <v>6290359.4550000001</v>
      </c>
      <c r="D39" s="33">
        <f>SUMIF('Entrada TD'!$E$8:$E$43,'Reliquidación TD'!$B39,'Entrada TD'!G$8:G$43)</f>
        <v>26313027.732999999</v>
      </c>
      <c r="E39" s="33">
        <f>SUMIF('Entrada TD'!$E$8:$E$43,'Reliquidación TD'!$B39,'Entrada TD'!H$8:H$43)</f>
        <v>21082.98</v>
      </c>
      <c r="F39" s="33">
        <f>SUMIF('Entrada TD'!$E$8:$E$43,'Reliquidación TD'!$B39,'Entrada TD'!I$8:I$43)</f>
        <v>13251.951999999999</v>
      </c>
      <c r="G39" s="33">
        <f>SUMIF('Entrada TD'!$E$8:$E$43,'Reliquidación TD'!$B39,'Entrada TD'!J$8:J$43)</f>
        <v>14631.193798726839</v>
      </c>
      <c r="H39" s="33">
        <v>0</v>
      </c>
      <c r="I39" s="33">
        <f t="shared" si="0"/>
        <v>0</v>
      </c>
      <c r="J39" s="33">
        <v>0</v>
      </c>
      <c r="K39" s="33">
        <f t="shared" si="6"/>
        <v>0</v>
      </c>
      <c r="L39" s="33">
        <f t="shared" si="3"/>
        <v>14631.193798726839</v>
      </c>
      <c r="M39" s="33">
        <f t="shared" si="4"/>
        <v>0</v>
      </c>
      <c r="N39" s="33">
        <f t="shared" si="5"/>
        <v>14631.193798726839</v>
      </c>
      <c r="O39" s="33">
        <f t="shared" si="1"/>
        <v>-14631.193798726839</v>
      </c>
      <c r="P39" s="33">
        <f t="shared" si="2"/>
        <v>0</v>
      </c>
    </row>
    <row r="40" spans="2:16" x14ac:dyDescent="0.3">
      <c r="B40" s="32" t="s">
        <v>48</v>
      </c>
      <c r="C40" s="33">
        <f>SUMIF('Entrada TD'!$E$8:$E$43,'Reliquidación TD'!$B40,'Entrada TD'!F$8:F$43)</f>
        <v>14002507.805</v>
      </c>
      <c r="D40" s="33">
        <f>SUMIF('Entrada TD'!$E$8:$E$43,'Reliquidación TD'!$B40,'Entrada TD'!G$8:G$43)</f>
        <v>49466280.186999999</v>
      </c>
      <c r="E40" s="33">
        <f>SUMIF('Entrada TD'!$E$8:$E$43,'Reliquidación TD'!$B40,'Entrada TD'!H$8:H$43)</f>
        <v>77651.819999999992</v>
      </c>
      <c r="F40" s="33">
        <f>SUMIF('Entrada TD'!$E$8:$E$43,'Reliquidación TD'!$B40,'Entrada TD'!I$8:I$43)</f>
        <v>49683.195</v>
      </c>
      <c r="G40" s="33">
        <f>SUMIF('Entrada TD'!$E$8:$E$43,'Reliquidación TD'!$B40,'Entrada TD'!J$8:J$43)</f>
        <v>-43518.0797697323</v>
      </c>
      <c r="H40" s="33">
        <v>0</v>
      </c>
      <c r="I40" s="33">
        <f t="shared" si="0"/>
        <v>0</v>
      </c>
      <c r="J40" s="33">
        <v>0</v>
      </c>
      <c r="K40" s="33">
        <f t="shared" si="6"/>
        <v>0</v>
      </c>
      <c r="L40" s="33">
        <f t="shared" si="3"/>
        <v>-43518.0797697323</v>
      </c>
      <c r="M40" s="33">
        <f t="shared" si="4"/>
        <v>43518.0797697323</v>
      </c>
      <c r="N40" s="33">
        <f t="shared" si="5"/>
        <v>0</v>
      </c>
      <c r="O40" s="33">
        <f t="shared" si="1"/>
        <v>155.44481581400592</v>
      </c>
      <c r="P40" s="33">
        <f t="shared" si="2"/>
        <v>-43362.634953918292</v>
      </c>
    </row>
    <row r="41" spans="2:16" x14ac:dyDescent="0.3">
      <c r="B41" s="32" t="s">
        <v>49</v>
      </c>
      <c r="C41" s="33">
        <f>SUMIF('Entrada TD'!$E$8:$E$43,'Reliquidación TD'!$B41,'Entrada TD'!F$8:F$43)</f>
        <v>0</v>
      </c>
      <c r="D41" s="33">
        <f>SUMIF('Entrada TD'!$E$8:$E$43,'Reliquidación TD'!$B41,'Entrada TD'!G$8:G$43)</f>
        <v>0</v>
      </c>
      <c r="E41" s="33">
        <f>SUMIF('Entrada TD'!$E$8:$E$43,'Reliquidación TD'!$B41,'Entrada TD'!H$8:H$43)</f>
        <v>0</v>
      </c>
      <c r="F41" s="33">
        <f>SUMIF('Entrada TD'!$E$8:$E$43,'Reliquidación TD'!$B41,'Entrada TD'!I$8:I$43)</f>
        <v>0</v>
      </c>
      <c r="G41" s="33">
        <f>SUMIF('Entrada TD'!$E$8:$E$43,'Reliquidación TD'!$B41,'Entrada TD'!J$8:J$43)</f>
        <v>0</v>
      </c>
      <c r="H41" s="33">
        <v>0</v>
      </c>
      <c r="I41" s="33">
        <f t="shared" si="0"/>
        <v>0</v>
      </c>
      <c r="J41" s="33">
        <v>0</v>
      </c>
      <c r="K41" s="33">
        <f t="shared" si="6"/>
        <v>0</v>
      </c>
      <c r="L41" s="33">
        <f t="shared" si="3"/>
        <v>0</v>
      </c>
      <c r="M41" s="33">
        <f>IF(L41&lt;0,-L41,0)</f>
        <v>0</v>
      </c>
      <c r="N41" s="33">
        <f>IF(L41&gt;0,L41,0)</f>
        <v>0</v>
      </c>
      <c r="O41" s="33">
        <f t="shared" si="1"/>
        <v>0</v>
      </c>
      <c r="P41" s="33">
        <f>L41+O41</f>
        <v>0</v>
      </c>
    </row>
    <row r="42" spans="2:16" x14ac:dyDescent="0.3">
      <c r="B42" s="32" t="s">
        <v>50</v>
      </c>
      <c r="C42" s="33">
        <f>SUMIF('Entrada TD'!$E$8:$E$43,'Reliquidación TD'!$B42,'Entrada TD'!F$8:F$43)</f>
        <v>0</v>
      </c>
      <c r="D42" s="33">
        <f>SUMIF('Entrada TD'!$E$8:$E$43,'Reliquidación TD'!$B42,'Entrada TD'!G$8:G$43)</f>
        <v>14290</v>
      </c>
      <c r="E42" s="33">
        <f>SUMIF('Entrada TD'!$E$8:$E$43,'Reliquidación TD'!$B42,'Entrada TD'!H$8:H$43)</f>
        <v>0</v>
      </c>
      <c r="F42" s="33">
        <f>SUMIF('Entrada TD'!$E$8:$E$43,'Reliquidación TD'!$B42,'Entrada TD'!I$8:I$43)</f>
        <v>0</v>
      </c>
      <c r="G42" s="33">
        <f>SUMIF('Entrada TD'!$E$8:$E$43,'Reliquidación TD'!$B42,'Entrada TD'!J$8:J$43)</f>
        <v>0</v>
      </c>
      <c r="H42" s="33">
        <v>0</v>
      </c>
      <c r="I42" s="33">
        <f t="shared" si="0"/>
        <v>0</v>
      </c>
      <c r="J42" s="33">
        <v>0</v>
      </c>
      <c r="K42" s="33">
        <f t="shared" si="6"/>
        <v>0</v>
      </c>
      <c r="L42" s="33">
        <f t="shared" si="3"/>
        <v>0</v>
      </c>
      <c r="M42" s="33">
        <f>IF(L42&lt;0,-L42,0)</f>
        <v>0</v>
      </c>
      <c r="N42" s="33">
        <f>IF(L42&gt;0,L42,0)</f>
        <v>0</v>
      </c>
      <c r="O42" s="33">
        <f t="shared" si="1"/>
        <v>0</v>
      </c>
      <c r="P42" s="33">
        <f>L42+O42</f>
        <v>0</v>
      </c>
    </row>
    <row r="43" spans="2:16" x14ac:dyDescent="0.3">
      <c r="B43" s="34" t="s">
        <v>51</v>
      </c>
      <c r="C43" s="35">
        <f>SUMIF('Entrada TD'!$E$8:$E$43,'Reliquidación TD'!$B43,'Entrada TD'!F$8:F$43)</f>
        <v>32785.800000000003</v>
      </c>
      <c r="D43" s="35">
        <f>SUMIF('Entrada TD'!$E$8:$E$43,'Reliquidación TD'!$B43,'Entrada TD'!G$8:G$43)</f>
        <v>63849.399999999987</v>
      </c>
      <c r="E43" s="35">
        <f>SUMIF('Entrada TD'!$E$8:$E$43,'Reliquidación TD'!$B43,'Entrada TD'!H$8:H$43)</f>
        <v>0</v>
      </c>
      <c r="F43" s="35">
        <f>SUMIF('Entrada TD'!$E$8:$E$43,'Reliquidación TD'!$B43,'Entrada TD'!I$8:I$43)</f>
        <v>0</v>
      </c>
      <c r="G43" s="35">
        <f>SUMIF('Entrada TD'!$E$8:$E$43,'Reliquidación TD'!$B43,'Entrada TD'!J$8:J$43)</f>
        <v>0</v>
      </c>
      <c r="H43" s="35">
        <v>0</v>
      </c>
      <c r="I43" s="35">
        <f t="shared" si="0"/>
        <v>0</v>
      </c>
      <c r="J43" s="35">
        <v>0</v>
      </c>
      <c r="K43" s="35">
        <f t="shared" si="6"/>
        <v>0</v>
      </c>
      <c r="L43" s="35">
        <f t="shared" si="3"/>
        <v>0</v>
      </c>
      <c r="M43" s="35">
        <f t="shared" si="4"/>
        <v>0</v>
      </c>
      <c r="N43" s="35">
        <f t="shared" si="5"/>
        <v>0</v>
      </c>
      <c r="O43" s="35">
        <f t="shared" si="1"/>
        <v>0</v>
      </c>
      <c r="P43" s="35">
        <f t="shared" si="2"/>
        <v>0</v>
      </c>
    </row>
    <row r="44" spans="2:16" x14ac:dyDescent="0.3">
      <c r="B44" s="36" t="s">
        <v>66</v>
      </c>
      <c r="C44" s="13">
        <f t="shared" ref="C44:P44" si="7">SUM(C9:C43)</f>
        <v>444233908.87722719</v>
      </c>
      <c r="D44" s="37">
        <f t="shared" si="7"/>
        <v>1573315263.2707455</v>
      </c>
      <c r="E44" s="38">
        <f t="shared" si="7"/>
        <v>13592691.643000001</v>
      </c>
      <c r="F44" s="38">
        <f t="shared" si="7"/>
        <v>4248187.83</v>
      </c>
      <c r="G44" s="38">
        <f t="shared" si="7"/>
        <v>-155633.73055453179</v>
      </c>
      <c r="H44" s="38">
        <f t="shared" si="7"/>
        <v>0</v>
      </c>
      <c r="I44" s="38">
        <f t="shared" si="7"/>
        <v>0</v>
      </c>
      <c r="J44" s="38">
        <f t="shared" si="7"/>
        <v>-61029974.858878002</v>
      </c>
      <c r="K44" s="38">
        <f t="shared" si="7"/>
        <v>-61148743.228077941</v>
      </c>
      <c r="L44" s="38">
        <f>SUM(L9:L43)</f>
        <v>-61304376.958632477</v>
      </c>
      <c r="M44" s="38">
        <f t="shared" si="7"/>
        <v>61524138.686559156</v>
      </c>
      <c r="N44" s="38">
        <f t="shared" si="7"/>
        <v>219761.72792668178</v>
      </c>
      <c r="O44" s="39">
        <f t="shared" si="7"/>
        <v>-1.6768808563938364E-12</v>
      </c>
      <c r="P44" s="39">
        <f t="shared" si="7"/>
        <v>-61304376.958632469</v>
      </c>
    </row>
    <row r="45" spans="2:16" x14ac:dyDescent="0.3">
      <c r="B45" s="40"/>
      <c r="C45"/>
      <c r="D45"/>
      <c r="E45"/>
      <c r="F45"/>
      <c r="G45"/>
      <c r="H45"/>
      <c r="I45"/>
      <c r="J45"/>
      <c r="K45"/>
      <c r="L45"/>
      <c r="M45" s="41"/>
      <c r="N45" s="41"/>
      <c r="O45"/>
    </row>
    <row r="46" spans="2:16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6" x14ac:dyDescent="0.3">
      <c r="B47"/>
      <c r="C47"/>
      <c r="H47" s="42"/>
      <c r="I47" s="14"/>
      <c r="J47" s="14"/>
      <c r="K47" s="14"/>
      <c r="L47" s="14"/>
      <c r="M47" s="4" t="s">
        <v>67</v>
      </c>
      <c r="N47" s="43">
        <f>N44</f>
        <v>219761.72792668178</v>
      </c>
      <c r="O47"/>
    </row>
    <row r="48" spans="2:16" x14ac:dyDescent="0.3">
      <c r="B48"/>
      <c r="C48"/>
      <c r="H48" s="42"/>
      <c r="I48" s="14"/>
      <c r="J48" s="14"/>
      <c r="K48" s="14"/>
      <c r="L48" s="14"/>
      <c r="M48" s="4" t="s">
        <v>68</v>
      </c>
      <c r="N48" s="43">
        <f>M44</f>
        <v>61524138.686559156</v>
      </c>
      <c r="O48"/>
      <c r="P48" s="44"/>
    </row>
    <row r="49" spans="2:16" x14ac:dyDescent="0.3">
      <c r="B49"/>
      <c r="C49"/>
      <c r="H49" s="42"/>
      <c r="I49"/>
      <c r="J49"/>
      <c r="K49"/>
      <c r="L49"/>
      <c r="M49" s="4" t="s">
        <v>69</v>
      </c>
      <c r="N49" s="43">
        <f>+IF(N48&lt;N47,N48,N47)</f>
        <v>219761.72792668178</v>
      </c>
      <c r="O49"/>
      <c r="P49" s="44"/>
    </row>
    <row r="50" spans="2:16" x14ac:dyDescent="0.3">
      <c r="M50" s="14"/>
      <c r="N50"/>
    </row>
    <row r="51" spans="2:16" x14ac:dyDescent="0.3">
      <c r="D51" s="45"/>
      <c r="G51" s="44"/>
    </row>
    <row r="52" spans="2:16" x14ac:dyDescent="0.3">
      <c r="D52" s="45"/>
    </row>
    <row r="53" spans="2:16" x14ac:dyDescent="0.3">
      <c r="D53" s="45"/>
    </row>
  </sheetData>
  <dataConsolidate/>
  <mergeCells count="15">
    <mergeCell ref="G6:G7"/>
    <mergeCell ref="B6:B8"/>
    <mergeCell ref="C6:C7"/>
    <mergeCell ref="D6:D7"/>
    <mergeCell ref="E6:E7"/>
    <mergeCell ref="F6:F7"/>
    <mergeCell ref="N6:N7"/>
    <mergeCell ref="O6:O7"/>
    <mergeCell ref="P6:P7"/>
    <mergeCell ref="H6:H7"/>
    <mergeCell ref="I6:I7"/>
    <mergeCell ref="J6:J7"/>
    <mergeCell ref="K6:K7"/>
    <mergeCell ref="L6:L7"/>
    <mergeCell ref="M6:M7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C997-E1AB-4232-90A7-80121D2F9C89}">
  <sheetPr codeName="Hoja6">
    <tabColor theme="8" tint="0.59999389629810485"/>
  </sheetPr>
  <dimension ref="B2:S114"/>
  <sheetViews>
    <sheetView showGridLines="0" zoomScale="60" zoomScaleNormal="60" workbookViewId="0">
      <selection activeCell="U42" sqref="U42"/>
    </sheetView>
  </sheetViews>
  <sheetFormatPr baseColWidth="10" defaultColWidth="11.3984375" defaultRowHeight="13" x14ac:dyDescent="0.3"/>
  <cols>
    <col min="1" max="1" width="6.3984375" style="17" customWidth="1"/>
    <col min="2" max="2" width="22.69921875" style="17" customWidth="1"/>
    <col min="3" max="3" width="11.59765625" style="17" bestFit="1" customWidth="1"/>
    <col min="4" max="4" width="13.09765625" style="17" bestFit="1" customWidth="1"/>
    <col min="5" max="5" width="12.09765625" style="17" customWidth="1"/>
    <col min="6" max="6" width="12.69921875" style="17" customWidth="1"/>
    <col min="7" max="7" width="13.59765625" style="17" bestFit="1" customWidth="1"/>
    <col min="8" max="8" width="15" style="17" customWidth="1"/>
    <col min="9" max="9" width="13.296875" style="17" customWidth="1"/>
    <col min="10" max="10" width="8" style="17" customWidth="1"/>
    <col min="11" max="11" width="11.09765625" style="17" customWidth="1"/>
    <col min="12" max="12" width="16.09765625" style="17" customWidth="1"/>
    <col min="13" max="13" width="13.59765625" style="17" bestFit="1" customWidth="1"/>
    <col min="14" max="15" width="13.09765625" style="17" bestFit="1" customWidth="1"/>
    <col min="16" max="16" width="16.296875" style="17" customWidth="1"/>
    <col min="17" max="18" width="13.296875" style="17" customWidth="1"/>
    <col min="19" max="19" width="14.69921875" style="17" customWidth="1"/>
    <col min="20" max="20" width="16.8984375" style="17" customWidth="1"/>
    <col min="21" max="16384" width="11.3984375" style="17"/>
  </cols>
  <sheetData>
    <row r="2" spans="2:19" x14ac:dyDescent="0.3">
      <c r="B2" s="16" t="s">
        <v>70</v>
      </c>
      <c r="C2" s="16"/>
      <c r="D2" s="16"/>
    </row>
    <row r="3" spans="2:19" x14ac:dyDescent="0.3">
      <c r="B3" s="18">
        <f>FechaFacturacion</f>
        <v>45778</v>
      </c>
      <c r="C3" s="19"/>
      <c r="D3" s="19"/>
      <c r="I3" s="20" t="s">
        <v>57</v>
      </c>
      <c r="J3" s="21"/>
      <c r="K3" s="21"/>
      <c r="L3" s="21"/>
    </row>
    <row r="4" spans="2:19" x14ac:dyDescent="0.3">
      <c r="B4" s="22"/>
      <c r="D4" s="19"/>
      <c r="I4" s="23">
        <f>'Reliquidación TD'!$I$4</f>
        <v>1.9460661662498158E-3</v>
      </c>
      <c r="J4" s="24"/>
      <c r="K4" s="24"/>
      <c r="L4" s="24"/>
      <c r="M4" s="46"/>
    </row>
    <row r="5" spans="2:19" x14ac:dyDescent="0.3">
      <c r="J5" s="47"/>
      <c r="K5" s="47"/>
      <c r="L5" s="47"/>
    </row>
    <row r="6" spans="2:19" ht="12.75" customHeight="1" x14ac:dyDescent="0.3">
      <c r="B6" s="105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  <c r="H6" s="105" t="str">
        <f>"Saldo "&amp;TEXT(B3-1,"mmmmmmmmmm")</f>
        <v>Saldo abril</v>
      </c>
      <c r="I6" s="105" t="s">
        <v>58</v>
      </c>
      <c r="J6" s="105" t="s">
        <v>59</v>
      </c>
      <c r="K6" s="105" t="s">
        <v>60</v>
      </c>
      <c r="L6" s="105" t="str">
        <f>CONCATENATE("Transferencias TD ", TEXT(FechaFacturacion, "mmmm yyyy"))</f>
        <v>Transferencias TD mayo 2025</v>
      </c>
      <c r="M6" s="108" t="s">
        <v>11</v>
      </c>
      <c r="N6" s="105" t="s">
        <v>71</v>
      </c>
      <c r="O6" s="103" t="s">
        <v>72</v>
      </c>
      <c r="P6" s="105" t="s">
        <v>64</v>
      </c>
      <c r="Q6" s="105" t="s">
        <v>65</v>
      </c>
      <c r="R6" s="105" t="s">
        <v>73</v>
      </c>
      <c r="S6" s="105" t="s">
        <v>74</v>
      </c>
    </row>
    <row r="7" spans="2:19" ht="12.75" customHeight="1" x14ac:dyDescent="0.3">
      <c r="B7" s="109"/>
      <c r="C7" s="106"/>
      <c r="D7" s="106"/>
      <c r="E7" s="106"/>
      <c r="F7" s="106"/>
      <c r="G7" s="106"/>
      <c r="H7" s="107"/>
      <c r="I7" s="106"/>
      <c r="J7" s="106"/>
      <c r="K7" s="106"/>
      <c r="L7" s="106"/>
      <c r="M7" s="108"/>
      <c r="N7" s="106"/>
      <c r="O7" s="104"/>
      <c r="P7" s="106"/>
      <c r="Q7" s="106"/>
      <c r="R7" s="106"/>
      <c r="S7" s="106"/>
    </row>
    <row r="8" spans="2:19" ht="13.5" customHeight="1" x14ac:dyDescent="0.3">
      <c r="B8" s="109"/>
      <c r="C8" s="26" t="s">
        <v>12</v>
      </c>
      <c r="D8" s="26" t="s">
        <v>12</v>
      </c>
      <c r="E8" s="26" t="s">
        <v>12</v>
      </c>
      <c r="F8" s="26" t="s">
        <v>12</v>
      </c>
      <c r="G8" s="26" t="s">
        <v>13</v>
      </c>
      <c r="H8" s="26" t="s">
        <v>13</v>
      </c>
      <c r="I8" s="26" t="s">
        <v>13</v>
      </c>
      <c r="J8" s="26" t="s">
        <v>13</v>
      </c>
      <c r="K8" s="26" t="s">
        <v>13</v>
      </c>
      <c r="L8" s="26" t="s">
        <v>13</v>
      </c>
      <c r="M8" s="26" t="s">
        <v>13</v>
      </c>
      <c r="N8" s="26" t="s">
        <v>13</v>
      </c>
      <c r="O8" s="28" t="s">
        <v>13</v>
      </c>
      <c r="P8" s="27" t="s">
        <v>13</v>
      </c>
      <c r="Q8" s="27" t="s">
        <v>13</v>
      </c>
      <c r="R8" s="27" t="s">
        <v>13</v>
      </c>
      <c r="S8" s="27" t="s">
        <v>13</v>
      </c>
    </row>
    <row r="9" spans="2:19" x14ac:dyDescent="0.3">
      <c r="B9" s="30" t="s">
        <v>14</v>
      </c>
      <c r="C9" s="31">
        <f>SUMIF('Entrada AR'!$E$8:$E$43,'Reliquidación AR'!$B9,'Entrada AR'!F$8:F$43)</f>
        <v>2403299.85</v>
      </c>
      <c r="D9" s="31">
        <f>SUMIF('Entrada AR'!$E$8:$E$43,'Reliquidación AR'!$B9,'Entrada AR'!G$8:G$43)</f>
        <v>2882503</v>
      </c>
      <c r="E9" s="31">
        <f>SUMIF('Entrada AR'!$E$8:$E$43,'Reliquidación AR'!$B9,'Entrada AR'!H$8:H$43)</f>
        <v>225166.5</v>
      </c>
      <c r="F9" s="31">
        <f>SUMIF('Entrada AR'!$E$8:$E$43,'Reliquidación AR'!$B9,'Entrada AR'!I$8:I$43)</f>
        <v>43688</v>
      </c>
      <c r="G9" s="31">
        <f>SUMIF('Entrada AR'!$E$8:$E$43,'Reliquidación AR'!$B9,'Entrada AR'!J$8:J$43)</f>
        <v>-23183951.075817801</v>
      </c>
      <c r="H9" s="31">
        <v>0</v>
      </c>
      <c r="I9" s="31">
        <f>H9*($I$4+1)</f>
        <v>0</v>
      </c>
      <c r="J9" s="31">
        <v>0</v>
      </c>
      <c r="K9" s="31">
        <f>+J9*($I$4+1)</f>
        <v>0</v>
      </c>
      <c r="L9" s="31">
        <f>+'Reliquidación TD'!O9</f>
        <v>0</v>
      </c>
      <c r="M9" s="31">
        <f t="shared" ref="M9:M43" si="0">G9+I9+K9</f>
        <v>-23183951.075817801</v>
      </c>
      <c r="N9" s="31">
        <f>IF(M9&lt;0,-M9,0)</f>
        <v>23183951.075817801</v>
      </c>
      <c r="O9" s="31">
        <f>IF(M9&gt;0,M9,0)</f>
        <v>0</v>
      </c>
      <c r="P9" s="31">
        <f t="shared" ref="P9:P42" si="1">IF(OR($N$44=0,$O$44=0),0,(N9/$N$44-O9/$O$44)*$O$49)</f>
        <v>23183951.075817801</v>
      </c>
      <c r="Q9" s="31">
        <f>M9+P9</f>
        <v>0</v>
      </c>
      <c r="R9" s="31">
        <v>0</v>
      </c>
      <c r="S9" s="31">
        <f>+Q9+R9</f>
        <v>0</v>
      </c>
    </row>
    <row r="10" spans="2:19" x14ac:dyDescent="0.3">
      <c r="B10" s="32" t="s">
        <v>15</v>
      </c>
      <c r="C10" s="33">
        <f>SUMIF('Entrada AR'!$E$8:$E$43,'Reliquidación AR'!$B10,'Entrada AR'!F$8:F$43)</f>
        <v>833539</v>
      </c>
      <c r="D10" s="33">
        <f>SUMIF('Entrada AR'!$E$8:$E$43,'Reliquidación AR'!$B10,'Entrada AR'!G$8:G$43)</f>
        <v>3214581</v>
      </c>
      <c r="E10" s="33">
        <f>SUMIF('Entrada AR'!$E$8:$E$43,'Reliquidación AR'!$B10,'Entrada AR'!H$8:H$43)</f>
        <v>985</v>
      </c>
      <c r="F10" s="33">
        <f>SUMIF('Entrada AR'!$E$8:$E$43,'Reliquidación AR'!$B10,'Entrada AR'!I$8:I$43)</f>
        <v>47473</v>
      </c>
      <c r="G10" s="33">
        <f>SUMIF('Entrada AR'!$E$8:$E$43,'Reliquidación AR'!$B10,'Entrada AR'!J$8:J$43)</f>
        <v>-25955293.696917199</v>
      </c>
      <c r="H10" s="33">
        <v>0</v>
      </c>
      <c r="I10" s="33">
        <f t="shared" ref="I10:I40" si="2">H10*($I$4+1)</f>
        <v>0</v>
      </c>
      <c r="J10" s="33">
        <v>0</v>
      </c>
      <c r="K10" s="33">
        <f t="shared" ref="K10:K43" si="3">+J10*($I$4+1)</f>
        <v>0</v>
      </c>
      <c r="L10" s="33">
        <f>+'Reliquidación TD'!O10</f>
        <v>0</v>
      </c>
      <c r="M10" s="33">
        <f t="shared" si="0"/>
        <v>-25955293.696917199</v>
      </c>
      <c r="N10" s="33">
        <f t="shared" ref="N10:N43" si="4">IF(M10&lt;0,-M10,0)</f>
        <v>25955293.696917199</v>
      </c>
      <c r="O10" s="33">
        <f t="shared" ref="O10:O43" si="5">IF(M10&gt;0,M10,0)</f>
        <v>0</v>
      </c>
      <c r="P10" s="33">
        <f t="shared" si="1"/>
        <v>25955293.696917199</v>
      </c>
      <c r="Q10" s="33">
        <f t="shared" ref="Q10:Q43" si="6">M10+P10</f>
        <v>0</v>
      </c>
      <c r="R10" s="33">
        <v>0</v>
      </c>
      <c r="S10" s="33">
        <f t="shared" ref="S10:S43" si="7">+Q10+R10</f>
        <v>0</v>
      </c>
    </row>
    <row r="11" spans="2:19" x14ac:dyDescent="0.3">
      <c r="B11" s="32" t="s">
        <v>16</v>
      </c>
      <c r="C11" s="33">
        <f>SUMIF('Entrada AR'!$E$8:$E$43,'Reliquidación AR'!$B11,'Entrada AR'!F$8:F$43)</f>
        <v>3832189.04</v>
      </c>
      <c r="D11" s="33">
        <f>SUMIF('Entrada AR'!$E$8:$E$43,'Reliquidación AR'!$B11,'Entrada AR'!G$8:G$43)</f>
        <v>5150569.0470000003</v>
      </c>
      <c r="E11" s="33">
        <f>SUMIF('Entrada AR'!$E$8:$E$43,'Reliquidación AR'!$B11,'Entrada AR'!H$8:H$43)</f>
        <v>0</v>
      </c>
      <c r="F11" s="33">
        <f>SUMIF('Entrada AR'!$E$8:$E$43,'Reliquidación AR'!$B11,'Entrada AR'!I$8:I$43)</f>
        <v>27648</v>
      </c>
      <c r="G11" s="33">
        <f>SUMIF('Entrada AR'!$E$8:$E$43,'Reliquidación AR'!$B11,'Entrada AR'!J$8:J$43)</f>
        <v>727440.04183949006</v>
      </c>
      <c r="H11" s="33">
        <v>1806722.3979056869</v>
      </c>
      <c r="I11" s="33">
        <f t="shared" si="2"/>
        <v>1810238.399236057</v>
      </c>
      <c r="J11" s="33">
        <v>0</v>
      </c>
      <c r="K11" s="33">
        <f t="shared" si="3"/>
        <v>0</v>
      </c>
      <c r="L11" s="33">
        <f>+'Reliquidación TD'!O11</f>
        <v>218420.83057528685</v>
      </c>
      <c r="M11" s="33">
        <f t="shared" si="0"/>
        <v>2537678.4410755471</v>
      </c>
      <c r="N11" s="33">
        <f t="shared" si="4"/>
        <v>0</v>
      </c>
      <c r="O11" s="33">
        <f t="shared" si="5"/>
        <v>2537678.4410755471</v>
      </c>
      <c r="P11" s="33">
        <f t="shared" si="1"/>
        <v>-940353.79336180037</v>
      </c>
      <c r="Q11" s="33">
        <f t="shared" si="6"/>
        <v>1597324.6477137469</v>
      </c>
      <c r="R11" s="33">
        <v>0</v>
      </c>
      <c r="S11" s="33">
        <f t="shared" si="7"/>
        <v>1597324.6477137469</v>
      </c>
    </row>
    <row r="12" spans="2:19" x14ac:dyDescent="0.3">
      <c r="B12" s="32" t="s">
        <v>17</v>
      </c>
      <c r="C12" s="33">
        <f>SUMIF('Entrada AR'!$E$8:$E$43,'Reliquidación AR'!$B12,'Entrada AR'!F$8:F$43)</f>
        <v>444624</v>
      </c>
      <c r="D12" s="33">
        <f>SUMIF('Entrada AR'!$E$8:$E$43,'Reliquidación AR'!$B12,'Entrada AR'!G$8:G$43)</f>
        <v>1319773</v>
      </c>
      <c r="E12" s="33">
        <f>SUMIF('Entrada AR'!$E$8:$E$43,'Reliquidación AR'!$B12,'Entrada AR'!H$8:H$43)</f>
        <v>0</v>
      </c>
      <c r="F12" s="33">
        <f>SUMIF('Entrada AR'!$E$8:$E$43,'Reliquidación AR'!$B12,'Entrada AR'!I$8:I$43)</f>
        <v>0</v>
      </c>
      <c r="G12" s="33">
        <f>SUMIF('Entrada AR'!$E$8:$E$43,'Reliquidación AR'!$B12,'Entrada AR'!J$8:J$43)</f>
        <v>-943120.68813442532</v>
      </c>
      <c r="H12" s="33">
        <v>0</v>
      </c>
      <c r="I12" s="33">
        <f t="shared" si="2"/>
        <v>0</v>
      </c>
      <c r="J12" s="33">
        <v>0</v>
      </c>
      <c r="K12" s="33">
        <f t="shared" si="3"/>
        <v>0</v>
      </c>
      <c r="L12" s="33">
        <f>+'Reliquidación TD'!O12</f>
        <v>0</v>
      </c>
      <c r="M12" s="33">
        <f t="shared" si="0"/>
        <v>-943120.68813442532</v>
      </c>
      <c r="N12" s="33">
        <f t="shared" si="4"/>
        <v>943120.68813442532</v>
      </c>
      <c r="O12" s="33">
        <f t="shared" si="5"/>
        <v>0</v>
      </c>
      <c r="P12" s="33">
        <f t="shared" si="1"/>
        <v>943120.68813442532</v>
      </c>
      <c r="Q12" s="33">
        <f t="shared" si="6"/>
        <v>0</v>
      </c>
      <c r="R12" s="33">
        <v>0</v>
      </c>
      <c r="S12" s="33">
        <f t="shared" si="7"/>
        <v>0</v>
      </c>
    </row>
    <row r="13" spans="2:19" x14ac:dyDescent="0.3">
      <c r="B13" s="32" t="s">
        <v>18</v>
      </c>
      <c r="C13" s="33">
        <f>SUMIF('Entrada AR'!$E$8:$E$43,'Reliquidación AR'!$B13,'Entrada AR'!F$8:F$43)</f>
        <v>135352931.92899999</v>
      </c>
      <c r="D13" s="33">
        <f>SUMIF('Entrada AR'!$E$8:$E$43,'Reliquidación AR'!$B13,'Entrada AR'!G$8:G$43)</f>
        <v>461125550.36400002</v>
      </c>
      <c r="E13" s="33">
        <f>SUMIF('Entrada AR'!$E$8:$E$43,'Reliquidación AR'!$B13,'Entrada AR'!H$8:H$43)</f>
        <v>5508613.3389999997</v>
      </c>
      <c r="F13" s="33">
        <f>SUMIF('Entrada AR'!$E$8:$E$43,'Reliquidación AR'!$B13,'Entrada AR'!I$8:I$43)</f>
        <v>1055476.9820000001</v>
      </c>
      <c r="G13" s="33">
        <f>SUMIF('Entrada AR'!$E$8:$E$43,'Reliquidación AR'!$B13,'Entrada AR'!J$8:J$43)</f>
        <v>29849143.203712601</v>
      </c>
      <c r="H13" s="33">
        <v>43796244.208255902</v>
      </c>
      <c r="I13" s="33">
        <f t="shared" si="2"/>
        <v>43881474.597318403</v>
      </c>
      <c r="J13" s="33">
        <v>0</v>
      </c>
      <c r="K13" s="33">
        <f t="shared" si="3"/>
        <v>0</v>
      </c>
      <c r="L13" s="33">
        <f>+'Reliquidación TD'!O13</f>
        <v>1180.3787578874696</v>
      </c>
      <c r="M13" s="33">
        <f t="shared" si="0"/>
        <v>73730617.801031008</v>
      </c>
      <c r="N13" s="33">
        <f t="shared" si="4"/>
        <v>0</v>
      </c>
      <c r="O13" s="33">
        <f t="shared" si="5"/>
        <v>73730617.801031008</v>
      </c>
      <c r="P13" s="33">
        <f t="shared" si="1"/>
        <v>-27321375.716429684</v>
      </c>
      <c r="Q13" s="33">
        <f t="shared" si="6"/>
        <v>46409242.084601328</v>
      </c>
      <c r="R13" s="33">
        <v>0</v>
      </c>
      <c r="S13" s="33">
        <f t="shared" si="7"/>
        <v>46409242.084601328</v>
      </c>
    </row>
    <row r="14" spans="2:19" x14ac:dyDescent="0.3">
      <c r="B14" s="32" t="s">
        <v>20</v>
      </c>
      <c r="C14" s="33">
        <f>SUMIF('Entrada AR'!$E$8:$E$43,'Reliquidación AR'!$B14,'Entrada AR'!F$8:F$43)</f>
        <v>158517.52100000001</v>
      </c>
      <c r="D14" s="33">
        <f>SUMIF('Entrada AR'!$E$8:$E$43,'Reliquidación AR'!$B14,'Entrada AR'!G$8:G$43)</f>
        <v>904819.30099999998</v>
      </c>
      <c r="E14" s="33">
        <f>SUMIF('Entrada AR'!$E$8:$E$43,'Reliquidación AR'!$B14,'Entrada AR'!H$8:H$43)</f>
        <v>0</v>
      </c>
      <c r="F14" s="33">
        <f>SUMIF('Entrada AR'!$E$8:$E$43,'Reliquidación AR'!$B14,'Entrada AR'!I$8:I$43)</f>
        <v>0</v>
      </c>
      <c r="G14" s="33">
        <f>SUMIF('Entrada AR'!$E$8:$E$43,'Reliquidación AR'!$B14,'Entrada AR'!J$8:J$43)</f>
        <v>79543.208225777256</v>
      </c>
      <c r="H14" s="33">
        <v>228246.42161383328</v>
      </c>
      <c r="I14" s="33">
        <f>H14*($I$4+1)</f>
        <v>228690.60425250354</v>
      </c>
      <c r="J14" s="33">
        <v>0</v>
      </c>
      <c r="K14" s="33">
        <f t="shared" si="3"/>
        <v>0</v>
      </c>
      <c r="L14" s="33">
        <f>+'Reliquidación TD'!O14</f>
        <v>0</v>
      </c>
      <c r="M14" s="33">
        <f t="shared" si="0"/>
        <v>308233.8124782808</v>
      </c>
      <c r="N14" s="33">
        <f t="shared" si="4"/>
        <v>0</v>
      </c>
      <c r="O14" s="33">
        <f t="shared" si="5"/>
        <v>308233.8124782808</v>
      </c>
      <c r="P14" s="33">
        <f t="shared" si="1"/>
        <v>-114218.10979466501</v>
      </c>
      <c r="Q14" s="33">
        <f t="shared" si="6"/>
        <v>194015.70268361579</v>
      </c>
      <c r="R14" s="33">
        <v>0</v>
      </c>
      <c r="S14" s="33">
        <f t="shared" si="7"/>
        <v>194015.70268361579</v>
      </c>
    </row>
    <row r="15" spans="2:19" x14ac:dyDescent="0.3">
      <c r="B15" s="32" t="s">
        <v>21</v>
      </c>
      <c r="C15" s="33">
        <f>SUMIF('Entrada AR'!$E$8:$E$43,'Reliquidación AR'!$B15,'Entrada AR'!F$8:F$43)</f>
        <v>10699553.1393271</v>
      </c>
      <c r="D15" s="33">
        <f>SUMIF('Entrada AR'!$E$8:$E$43,'Reliquidación AR'!$B15,'Entrada AR'!G$8:G$43)</f>
        <v>18872801.526999999</v>
      </c>
      <c r="E15" s="33">
        <f>SUMIF('Entrada AR'!$E$8:$E$43,'Reliquidación AR'!$B15,'Entrada AR'!H$8:H$43)</f>
        <v>612991.97100000002</v>
      </c>
      <c r="F15" s="33">
        <f>SUMIF('Entrada AR'!$E$8:$E$43,'Reliquidación AR'!$B15,'Entrada AR'!I$8:I$43)</f>
        <v>39995.288999999997</v>
      </c>
      <c r="G15" s="33">
        <f>SUMIF('Entrada AR'!$E$8:$E$43,'Reliquidación AR'!$B15,'Entrada AR'!J$8:J$43)</f>
        <v>2594031.5301219812</v>
      </c>
      <c r="H15" s="33">
        <v>1764650.8096586522</v>
      </c>
      <c r="I15" s="33">
        <f t="shared" si="2"/>
        <v>1768084.9368945742</v>
      </c>
      <c r="J15" s="33">
        <v>0</v>
      </c>
      <c r="K15" s="33">
        <f t="shared" si="3"/>
        <v>0</v>
      </c>
      <c r="L15" s="33">
        <f>+'Reliquidación TD'!O15</f>
        <v>-4714.6831601005451</v>
      </c>
      <c r="M15" s="33">
        <f t="shared" si="0"/>
        <v>4362116.4670165554</v>
      </c>
      <c r="N15" s="33">
        <f t="shared" si="4"/>
        <v>0</v>
      </c>
      <c r="O15" s="33">
        <f t="shared" si="5"/>
        <v>4362116.4670165554</v>
      </c>
      <c r="P15" s="33">
        <f t="shared" si="1"/>
        <v>-1616411.5596562605</v>
      </c>
      <c r="Q15" s="33">
        <f t="shared" si="6"/>
        <v>2745704.9073602948</v>
      </c>
      <c r="R15" s="33">
        <v>0</v>
      </c>
      <c r="S15" s="33">
        <f t="shared" si="7"/>
        <v>2745704.9073602948</v>
      </c>
    </row>
    <row r="16" spans="2:19" x14ac:dyDescent="0.3">
      <c r="B16" s="32" t="s">
        <v>22</v>
      </c>
      <c r="C16" s="33">
        <f>SUMIF('Entrada AR'!$E$8:$E$43,'Reliquidación AR'!$B16,'Entrada AR'!F$8:F$43)</f>
        <v>0</v>
      </c>
      <c r="D16" s="33">
        <f>SUMIF('Entrada AR'!$E$8:$E$43,'Reliquidación AR'!$B16,'Entrada AR'!G$8:G$43)</f>
        <v>0</v>
      </c>
      <c r="E16" s="33">
        <f>SUMIF('Entrada AR'!$E$8:$E$43,'Reliquidación AR'!$B16,'Entrada AR'!H$8:H$43)</f>
        <v>0</v>
      </c>
      <c r="F16" s="33">
        <f>SUMIF('Entrada AR'!$E$8:$E$43,'Reliquidación AR'!$B16,'Entrada AR'!I$8:I$43)</f>
        <v>0</v>
      </c>
      <c r="G16" s="33">
        <f>SUMIF('Entrada AR'!$E$8:$E$43,'Reliquidación AR'!$B16,'Entrada AR'!J$8:J$43)</f>
        <v>0</v>
      </c>
      <c r="H16" s="33">
        <v>0</v>
      </c>
      <c r="I16" s="33">
        <f t="shared" si="2"/>
        <v>0</v>
      </c>
      <c r="J16" s="33">
        <v>0</v>
      </c>
      <c r="K16" s="33">
        <f t="shared" si="3"/>
        <v>0</v>
      </c>
      <c r="L16" s="33">
        <f>+'Reliquidación TD'!O16</f>
        <v>0</v>
      </c>
      <c r="M16" s="33">
        <f t="shared" si="0"/>
        <v>0</v>
      </c>
      <c r="N16" s="33">
        <f t="shared" si="4"/>
        <v>0</v>
      </c>
      <c r="O16" s="33">
        <f t="shared" si="5"/>
        <v>0</v>
      </c>
      <c r="P16" s="33">
        <f t="shared" si="1"/>
        <v>0</v>
      </c>
      <c r="Q16" s="33">
        <f t="shared" si="6"/>
        <v>0</v>
      </c>
      <c r="R16" s="33">
        <v>0</v>
      </c>
      <c r="S16" s="33">
        <f t="shared" si="7"/>
        <v>0</v>
      </c>
    </row>
    <row r="17" spans="2:19" x14ac:dyDescent="0.3">
      <c r="B17" s="32" t="s">
        <v>23</v>
      </c>
      <c r="C17" s="33">
        <f>SUMIF('Entrada AR'!$E$8:$E$43,'Reliquidación AR'!$B17,'Entrada AR'!F$8:F$43)</f>
        <v>0</v>
      </c>
      <c r="D17" s="33">
        <f>SUMIF('Entrada AR'!$E$8:$E$43,'Reliquidación AR'!$B17,'Entrada AR'!G$8:G$43)</f>
        <v>0</v>
      </c>
      <c r="E17" s="33">
        <f>SUMIF('Entrada AR'!$E$8:$E$43,'Reliquidación AR'!$B17,'Entrada AR'!H$8:H$43)</f>
        <v>0</v>
      </c>
      <c r="F17" s="33">
        <f>SUMIF('Entrada AR'!$E$8:$E$43,'Reliquidación AR'!$B17,'Entrada AR'!I$8:I$43)</f>
        <v>0</v>
      </c>
      <c r="G17" s="33">
        <f>SUMIF('Entrada AR'!$E$8:$E$43,'Reliquidación AR'!$B17,'Entrada AR'!J$8:J$43)</f>
        <v>0</v>
      </c>
      <c r="H17" s="33">
        <v>0</v>
      </c>
      <c r="I17" s="33">
        <f t="shared" si="2"/>
        <v>0</v>
      </c>
      <c r="J17" s="33">
        <v>0</v>
      </c>
      <c r="K17" s="33">
        <f t="shared" si="3"/>
        <v>0</v>
      </c>
      <c r="L17" s="33">
        <f>+'Reliquidación TD'!O17</f>
        <v>0</v>
      </c>
      <c r="M17" s="33">
        <f t="shared" si="0"/>
        <v>0</v>
      </c>
      <c r="N17" s="33">
        <f t="shared" si="4"/>
        <v>0</v>
      </c>
      <c r="O17" s="33">
        <f t="shared" si="5"/>
        <v>0</v>
      </c>
      <c r="P17" s="33">
        <f t="shared" si="1"/>
        <v>0</v>
      </c>
      <c r="Q17" s="33">
        <f t="shared" si="6"/>
        <v>0</v>
      </c>
      <c r="R17" s="33">
        <v>0</v>
      </c>
      <c r="S17" s="33">
        <f t="shared" si="7"/>
        <v>0</v>
      </c>
    </row>
    <row r="18" spans="2:19" x14ac:dyDescent="0.3">
      <c r="B18" s="32" t="s">
        <v>24</v>
      </c>
      <c r="C18" s="33">
        <f>SUMIF('Entrada AR'!$E$8:$E$43,'Reliquidación AR'!$B18,'Entrada AR'!F$8:F$43)+SUMIF('Entrada AR'!$E$8:$E$43,"LUZ ANDES",'Entrada AR'!F$8:F$43)</f>
        <v>106896174.19599999</v>
      </c>
      <c r="D18" s="33">
        <f>SUMIF('Entrada AR'!$E$8:$E$43,'Reliquidación AR'!$B18,'Entrada AR'!G$8:G$43)+SUMIF('Entrada AR'!$E$8:$E$43,"LUZ ANDES",'Entrada AR'!G$8:G$43)</f>
        <v>546550889.21145499</v>
      </c>
      <c r="E18" s="33">
        <f>SUMIF('Entrada AR'!$E$8:$E$43,'Reliquidación AR'!$B18,'Entrada AR'!H$8:H$43)+SUMIF('Entrada AR'!$E$8:$E$43,"LUZ ANDES",'Entrada AR'!H$8:H$43)</f>
        <v>294860.86</v>
      </c>
      <c r="F18" s="33">
        <f>SUMIF('Entrada AR'!$E$8:$E$43,'Reliquidación AR'!$B18,'Entrada AR'!I$8:I$43)+SUMIF('Entrada AR'!$E$8:$E$43,"LUZ ANDES",'Entrada AR'!I$8:I$43)</f>
        <v>1324167.1939999999</v>
      </c>
      <c r="G18" s="33">
        <f>SUMIF('Entrada AR'!$E$8:$E$43,'Reliquidación AR'!$B18,'Entrada AR'!J$8:J$43)+SUMIF('Entrada AR'!$E$8:$E$43,"LUZ ANDES",'Entrada AR'!J$8:J$43)</f>
        <v>57453281.883768551</v>
      </c>
      <c r="H18" s="33">
        <v>127754225.23964006</v>
      </c>
      <c r="I18" s="33">
        <f t="shared" si="2"/>
        <v>128002843.41497438</v>
      </c>
      <c r="J18" s="33">
        <v>0</v>
      </c>
      <c r="K18" s="33">
        <f t="shared" si="3"/>
        <v>0</v>
      </c>
      <c r="L18" s="33">
        <f>+'Reliquidación TD'!O18</f>
        <v>-172360.01544065701</v>
      </c>
      <c r="M18" s="33">
        <f t="shared" si="0"/>
        <v>185456125.29874292</v>
      </c>
      <c r="N18" s="33">
        <f t="shared" si="4"/>
        <v>0</v>
      </c>
      <c r="O18" s="33">
        <f t="shared" si="5"/>
        <v>185456125.29874292</v>
      </c>
      <c r="P18" s="33">
        <f t="shared" si="1"/>
        <v>-68722013.043126345</v>
      </c>
      <c r="Q18" s="33">
        <f t="shared" si="6"/>
        <v>116734112.25561658</v>
      </c>
      <c r="R18" s="33">
        <v>0</v>
      </c>
      <c r="S18" s="33">
        <f t="shared" si="7"/>
        <v>116734112.25561658</v>
      </c>
    </row>
    <row r="19" spans="2:19" x14ac:dyDescent="0.3">
      <c r="B19" s="32" t="s">
        <v>26</v>
      </c>
      <c r="C19" s="33">
        <f>SUMIF('Entrada AR'!$E$8:$E$43,'Reliquidación AR'!$B19,'Entrada AR'!F$8:F$43)</f>
        <v>34143317.086000003</v>
      </c>
      <c r="D19" s="33">
        <f>SUMIF('Entrada AR'!$E$8:$E$43,'Reliquidación AR'!$B19,'Entrada AR'!G$8:G$43)</f>
        <v>67997616.605000004</v>
      </c>
      <c r="E19" s="33">
        <f>SUMIF('Entrada AR'!$E$8:$E$43,'Reliquidación AR'!$B19,'Entrada AR'!H$8:H$43)</f>
        <v>1527233.5549999999</v>
      </c>
      <c r="F19" s="33">
        <f>SUMIF('Entrada AR'!$E$8:$E$43,'Reliquidación AR'!$B19,'Entrada AR'!I$8:I$43)</f>
        <v>148459.09400000001</v>
      </c>
      <c r="G19" s="33">
        <f>SUMIF('Entrada AR'!$E$8:$E$43,'Reliquidación AR'!$B19,'Entrada AR'!J$8:J$43)</f>
        <v>6717057.4916286441</v>
      </c>
      <c r="H19" s="33">
        <v>5373407.8097040281</v>
      </c>
      <c r="I19" s="33">
        <f t="shared" si="2"/>
        <v>5383864.8168399557</v>
      </c>
      <c r="J19" s="33">
        <v>0</v>
      </c>
      <c r="K19" s="33">
        <f t="shared" si="3"/>
        <v>0</v>
      </c>
      <c r="L19" s="33">
        <f>+'Reliquidación TD'!O19</f>
        <v>-15315.763465720149</v>
      </c>
      <c r="M19" s="33">
        <f t="shared" si="0"/>
        <v>12100922.308468599</v>
      </c>
      <c r="N19" s="33">
        <f t="shared" si="4"/>
        <v>0</v>
      </c>
      <c r="O19" s="33">
        <f t="shared" si="5"/>
        <v>12100922.308468599</v>
      </c>
      <c r="P19" s="33">
        <f t="shared" si="1"/>
        <v>-4484078.0501417844</v>
      </c>
      <c r="Q19" s="33">
        <f t="shared" si="6"/>
        <v>7616844.2583268145</v>
      </c>
      <c r="R19" s="33">
        <v>0</v>
      </c>
      <c r="S19" s="33">
        <f t="shared" si="7"/>
        <v>7616844.2583268145</v>
      </c>
    </row>
    <row r="20" spans="2:19" x14ac:dyDescent="0.3">
      <c r="B20" s="32" t="s">
        <v>27</v>
      </c>
      <c r="C20" s="33">
        <f>SUMIF('Entrada AR'!$E$8:$E$43,'Reliquidación AR'!$B20,'Entrada AR'!F$8:F$43)</f>
        <v>3206338.7379999999</v>
      </c>
      <c r="D20" s="33">
        <f>SUMIF('Entrada AR'!$E$8:$E$43,'Reliquidación AR'!$B20,'Entrada AR'!G$8:G$43)</f>
        <v>17558595.651999999</v>
      </c>
      <c r="E20" s="33">
        <f>SUMIF('Entrada AR'!$E$8:$E$43,'Reliquidación AR'!$B20,'Entrada AR'!H$8:H$43)</f>
        <v>8160</v>
      </c>
      <c r="F20" s="33">
        <f>SUMIF('Entrada AR'!$E$8:$E$43,'Reliquidación AR'!$B20,'Entrada AR'!I$8:I$43)</f>
        <v>19487.210999999999</v>
      </c>
      <c r="G20" s="33">
        <f>SUMIF('Entrada AR'!$E$8:$E$43,'Reliquidación AR'!$B20,'Entrada AR'!J$8:J$43)</f>
        <v>955061.01880061068</v>
      </c>
      <c r="H20" s="33">
        <v>1154027.0305670872</v>
      </c>
      <c r="I20" s="33">
        <f t="shared" si="2"/>
        <v>1156272.8435262116</v>
      </c>
      <c r="J20" s="33">
        <v>0</v>
      </c>
      <c r="K20" s="33">
        <f t="shared" si="3"/>
        <v>0</v>
      </c>
      <c r="L20" s="33">
        <f>+'Reliquidación TD'!O20</f>
        <v>0.17724458915547608</v>
      </c>
      <c r="M20" s="33">
        <f t="shared" si="0"/>
        <v>2111333.8623268222</v>
      </c>
      <c r="N20" s="33">
        <f t="shared" si="4"/>
        <v>0</v>
      </c>
      <c r="O20" s="33">
        <f t="shared" si="5"/>
        <v>2111333.8623268222</v>
      </c>
      <c r="P20" s="33">
        <f t="shared" si="1"/>
        <v>-782368.94570880849</v>
      </c>
      <c r="Q20" s="33">
        <f t="shared" si="6"/>
        <v>1328964.9166180138</v>
      </c>
      <c r="R20" s="33">
        <v>0</v>
      </c>
      <c r="S20" s="33">
        <f t="shared" si="7"/>
        <v>1328964.9166180138</v>
      </c>
    </row>
    <row r="21" spans="2:19" x14ac:dyDescent="0.3">
      <c r="B21" s="32" t="s">
        <v>28</v>
      </c>
      <c r="C21" s="33">
        <f>SUMIF('Entrada AR'!$E$8:$E$43,'Reliquidación AR'!$B21,'Entrada AR'!F$8:F$43)</f>
        <v>0</v>
      </c>
      <c r="D21" s="33">
        <f>SUMIF('Entrada AR'!$E$8:$E$43,'Reliquidación AR'!$B21,'Entrada AR'!G$8:G$43)</f>
        <v>0</v>
      </c>
      <c r="E21" s="33">
        <f>SUMIF('Entrada AR'!$E$8:$E$43,'Reliquidación AR'!$B21,'Entrada AR'!H$8:H$43)</f>
        <v>0</v>
      </c>
      <c r="F21" s="33">
        <f>SUMIF('Entrada AR'!$E$8:$E$43,'Reliquidación AR'!$B21,'Entrada AR'!I$8:I$43)</f>
        <v>0</v>
      </c>
      <c r="G21" s="33">
        <f>SUMIF('Entrada AR'!$E$8:$E$43,'Reliquidación AR'!$B21,'Entrada AR'!J$8:J$43)</f>
        <v>0</v>
      </c>
      <c r="H21" s="33">
        <v>0</v>
      </c>
      <c r="I21" s="33">
        <f t="shared" si="2"/>
        <v>0</v>
      </c>
      <c r="J21" s="33">
        <v>0</v>
      </c>
      <c r="K21" s="33">
        <f t="shared" si="3"/>
        <v>0</v>
      </c>
      <c r="L21" s="33">
        <f>+'Reliquidación TD'!O21</f>
        <v>0</v>
      </c>
      <c r="M21" s="33">
        <f t="shared" si="0"/>
        <v>0</v>
      </c>
      <c r="N21" s="33">
        <f t="shared" si="4"/>
        <v>0</v>
      </c>
      <c r="O21" s="33">
        <f t="shared" si="5"/>
        <v>0</v>
      </c>
      <c r="P21" s="33">
        <f t="shared" si="1"/>
        <v>0</v>
      </c>
      <c r="Q21" s="33">
        <f t="shared" si="6"/>
        <v>0</v>
      </c>
      <c r="R21" s="33">
        <v>0</v>
      </c>
      <c r="S21" s="33">
        <f t="shared" si="7"/>
        <v>0</v>
      </c>
    </row>
    <row r="22" spans="2:19" x14ac:dyDescent="0.3">
      <c r="B22" s="32" t="s">
        <v>29</v>
      </c>
      <c r="C22" s="33">
        <f>SUMIF('Entrada AR'!$E$8:$E$43,'Reliquidación AR'!$B22,'Entrada AR'!F$8:F$43)</f>
        <v>1471077</v>
      </c>
      <c r="D22" s="33">
        <f>SUMIF('Entrada AR'!$E$8:$E$43,'Reliquidación AR'!$B22,'Entrada AR'!G$8:G$43)</f>
        <v>8457923</v>
      </c>
      <c r="E22" s="33">
        <f>SUMIF('Entrada AR'!$E$8:$E$43,'Reliquidación AR'!$B22,'Entrada AR'!H$8:H$43)</f>
        <v>149</v>
      </c>
      <c r="F22" s="33">
        <f>SUMIF('Entrada AR'!$E$8:$E$43,'Reliquidación AR'!$B22,'Entrada AR'!I$8:I$43)</f>
        <v>7093</v>
      </c>
      <c r="G22" s="33">
        <f>SUMIF('Entrada AR'!$E$8:$E$43,'Reliquidación AR'!$B22,'Entrada AR'!J$8:J$43)</f>
        <v>-74625749.050760567</v>
      </c>
      <c r="H22" s="33">
        <v>0</v>
      </c>
      <c r="I22" s="33">
        <f t="shared" si="2"/>
        <v>0</v>
      </c>
      <c r="J22" s="33">
        <v>0</v>
      </c>
      <c r="K22" s="33">
        <f t="shared" si="3"/>
        <v>0</v>
      </c>
      <c r="L22" s="33">
        <f>+'Reliquidación TD'!O22</f>
        <v>0</v>
      </c>
      <c r="M22" s="33">
        <f t="shared" si="0"/>
        <v>-74625749.050760567</v>
      </c>
      <c r="N22" s="33">
        <f t="shared" si="4"/>
        <v>74625749.050760567</v>
      </c>
      <c r="O22" s="33">
        <f t="shared" si="5"/>
        <v>0</v>
      </c>
      <c r="P22" s="33">
        <f t="shared" si="1"/>
        <v>74625749.050760567</v>
      </c>
      <c r="Q22" s="33">
        <f t="shared" si="6"/>
        <v>0</v>
      </c>
      <c r="R22" s="33">
        <v>0</v>
      </c>
      <c r="S22" s="33">
        <f t="shared" si="7"/>
        <v>0</v>
      </c>
    </row>
    <row r="23" spans="2:19" x14ac:dyDescent="0.3">
      <c r="B23" s="32" t="s">
        <v>30</v>
      </c>
      <c r="C23" s="33">
        <f>SUMIF('Entrada AR'!$E$8:$E$43,'Reliquidación AR'!$B23,'Entrada AR'!F$8:F$43)</f>
        <v>4751790</v>
      </c>
      <c r="D23" s="33">
        <f>SUMIF('Entrada AR'!$E$8:$E$43,'Reliquidación AR'!$B23,'Entrada AR'!G$8:G$43)</f>
        <v>12830052</v>
      </c>
      <c r="E23" s="33">
        <f>SUMIF('Entrada AR'!$E$8:$E$43,'Reliquidación AR'!$B23,'Entrada AR'!H$8:H$43)</f>
        <v>587072</v>
      </c>
      <c r="F23" s="33">
        <f>SUMIF('Entrada AR'!$E$8:$E$43,'Reliquidación AR'!$B23,'Entrada AR'!I$8:I$43)</f>
        <v>144840</v>
      </c>
      <c r="G23" s="33">
        <f>SUMIF('Entrada AR'!$E$8:$E$43,'Reliquidación AR'!$B23,'Entrada AR'!J$8:J$43)</f>
        <v>1351993.2952625109</v>
      </c>
      <c r="H23" s="33">
        <v>3816918.0035609039</v>
      </c>
      <c r="I23" s="33">
        <f t="shared" si="2"/>
        <v>3824345.9785469836</v>
      </c>
      <c r="J23" s="33">
        <v>0</v>
      </c>
      <c r="K23" s="33">
        <f t="shared" si="3"/>
        <v>0</v>
      </c>
      <c r="L23" s="33">
        <f>+'Reliquidación TD'!O23</f>
        <v>0</v>
      </c>
      <c r="M23" s="33">
        <f t="shared" si="0"/>
        <v>5176339.2738094945</v>
      </c>
      <c r="N23" s="33">
        <f t="shared" si="4"/>
        <v>0</v>
      </c>
      <c r="O23" s="33">
        <f t="shared" si="5"/>
        <v>5176339.2738094945</v>
      </c>
      <c r="P23" s="33">
        <f t="shared" si="1"/>
        <v>-1918127.2903084557</v>
      </c>
      <c r="Q23" s="33">
        <f t="shared" si="6"/>
        <v>3258211.9835010385</v>
      </c>
      <c r="R23" s="33">
        <v>0</v>
      </c>
      <c r="S23" s="33">
        <f t="shared" si="7"/>
        <v>3258211.9835010385</v>
      </c>
    </row>
    <row r="24" spans="2:19" x14ac:dyDescent="0.3">
      <c r="B24" s="32" t="s">
        <v>31</v>
      </c>
      <c r="C24" s="33">
        <f>SUMIF('Entrada AR'!$E$8:$E$43,'Reliquidación AR'!$B24,'Entrada AR'!F$8:F$43)</f>
        <v>1571701</v>
      </c>
      <c r="D24" s="33">
        <f>SUMIF('Entrada AR'!$E$8:$E$43,'Reliquidación AR'!$B24,'Entrada AR'!G$8:G$43)</f>
        <v>14400875</v>
      </c>
      <c r="E24" s="33">
        <f>SUMIF('Entrada AR'!$E$8:$E$43,'Reliquidación AR'!$B24,'Entrada AR'!H$8:H$43)</f>
        <v>42</v>
      </c>
      <c r="F24" s="33">
        <f>SUMIF('Entrada AR'!$E$8:$E$43,'Reliquidación AR'!$B24,'Entrada AR'!I$8:I$43)</f>
        <v>73423</v>
      </c>
      <c r="G24" s="33">
        <f>SUMIF('Entrada AR'!$E$8:$E$43,'Reliquidación AR'!$B24,'Entrada AR'!J$8:J$43)</f>
        <v>1205265.6678446811</v>
      </c>
      <c r="H24" s="33">
        <v>1806440.6808534518</v>
      </c>
      <c r="I24" s="33">
        <f t="shared" si="2"/>
        <v>1809956.133943798</v>
      </c>
      <c r="J24" s="33">
        <v>0</v>
      </c>
      <c r="K24" s="33">
        <f t="shared" si="3"/>
        <v>0</v>
      </c>
      <c r="L24" s="33">
        <f>+'Reliquidación TD'!O24</f>
        <v>0</v>
      </c>
      <c r="M24" s="33">
        <f t="shared" si="0"/>
        <v>3015221.8017884791</v>
      </c>
      <c r="N24" s="33">
        <f t="shared" si="4"/>
        <v>0</v>
      </c>
      <c r="O24" s="33">
        <f t="shared" si="5"/>
        <v>3015221.8017884791</v>
      </c>
      <c r="P24" s="33">
        <f t="shared" si="1"/>
        <v>-1117310.6936028027</v>
      </c>
      <c r="Q24" s="33">
        <f t="shared" si="6"/>
        <v>1897911.1081856764</v>
      </c>
      <c r="R24" s="33">
        <v>0</v>
      </c>
      <c r="S24" s="33">
        <f t="shared" si="7"/>
        <v>1897911.1081856764</v>
      </c>
    </row>
    <row r="25" spans="2:19" x14ac:dyDescent="0.3">
      <c r="B25" s="32" t="s">
        <v>32</v>
      </c>
      <c r="C25" s="33">
        <f>SUMIF('Entrada AR'!$E$8:$E$43,'Reliquidación AR'!$B25,'Entrada AR'!F$8:F$43)</f>
        <v>914925</v>
      </c>
      <c r="D25" s="33">
        <f>SUMIF('Entrada AR'!$E$8:$E$43,'Reliquidación AR'!$B25,'Entrada AR'!G$8:G$43)</f>
        <v>2768158</v>
      </c>
      <c r="E25" s="33">
        <f>SUMIF('Entrada AR'!$E$8:$E$43,'Reliquidación AR'!$B25,'Entrada AR'!H$8:H$43)</f>
        <v>226653</v>
      </c>
      <c r="F25" s="33">
        <f>SUMIF('Entrada AR'!$E$8:$E$43,'Reliquidación AR'!$B25,'Entrada AR'!I$8:I$43)</f>
        <v>21393</v>
      </c>
      <c r="G25" s="33">
        <f>SUMIF('Entrada AR'!$E$8:$E$43,'Reliquidación AR'!$B25,'Entrada AR'!J$8:J$43)</f>
        <v>-20411884.51973968</v>
      </c>
      <c r="H25" s="33">
        <v>0</v>
      </c>
      <c r="I25" s="33">
        <f t="shared" si="2"/>
        <v>0</v>
      </c>
      <c r="J25" s="33">
        <v>0</v>
      </c>
      <c r="K25" s="33">
        <f t="shared" si="3"/>
        <v>0</v>
      </c>
      <c r="L25" s="33">
        <f>+'Reliquidación TD'!O25</f>
        <v>0</v>
      </c>
      <c r="M25" s="33">
        <f t="shared" si="0"/>
        <v>-20411884.51973968</v>
      </c>
      <c r="N25" s="33">
        <f t="shared" si="4"/>
        <v>20411884.51973968</v>
      </c>
      <c r="O25" s="33">
        <f t="shared" si="5"/>
        <v>0</v>
      </c>
      <c r="P25" s="33">
        <f t="shared" si="1"/>
        <v>20411884.51973968</v>
      </c>
      <c r="Q25" s="33">
        <f t="shared" si="6"/>
        <v>0</v>
      </c>
      <c r="R25" s="33">
        <v>0</v>
      </c>
      <c r="S25" s="33">
        <f t="shared" si="7"/>
        <v>0</v>
      </c>
    </row>
    <row r="26" spans="2:19" x14ac:dyDescent="0.3">
      <c r="B26" s="32" t="s">
        <v>33</v>
      </c>
      <c r="C26" s="33">
        <f>SUMIF('Entrada AR'!$E$8:$E$43,'Reliquidación AR'!$B26,'Entrada AR'!F$8:F$43)</f>
        <v>1286656</v>
      </c>
      <c r="D26" s="33">
        <f>SUMIF('Entrada AR'!$E$8:$E$43,'Reliquidación AR'!$B26,'Entrada AR'!G$8:G$43)</f>
        <v>2274598</v>
      </c>
      <c r="E26" s="33">
        <f>SUMIF('Entrada AR'!$E$8:$E$43,'Reliquidación AR'!$B26,'Entrada AR'!H$8:H$43)</f>
        <v>75381</v>
      </c>
      <c r="F26" s="33">
        <f>SUMIF('Entrada AR'!$E$8:$E$43,'Reliquidación AR'!$B26,'Entrada AR'!I$8:I$43)</f>
        <v>8875</v>
      </c>
      <c r="G26" s="33">
        <f>SUMIF('Entrada AR'!$E$8:$E$43,'Reliquidación AR'!$B26,'Entrada AR'!J$8:J$43)</f>
        <v>-17674003.916265089</v>
      </c>
      <c r="H26" s="33">
        <v>0</v>
      </c>
      <c r="I26" s="33">
        <f t="shared" si="2"/>
        <v>0</v>
      </c>
      <c r="J26" s="33">
        <v>0</v>
      </c>
      <c r="K26" s="33">
        <f t="shared" si="3"/>
        <v>0</v>
      </c>
      <c r="L26" s="33">
        <f>+'Reliquidación TD'!O26</f>
        <v>0</v>
      </c>
      <c r="M26" s="33">
        <f t="shared" si="0"/>
        <v>-17674003.916265089</v>
      </c>
      <c r="N26" s="33">
        <f t="shared" si="4"/>
        <v>17674003.916265089</v>
      </c>
      <c r="O26" s="33">
        <f t="shared" si="5"/>
        <v>0</v>
      </c>
      <c r="P26" s="33">
        <f t="shared" si="1"/>
        <v>17674003.916265089</v>
      </c>
      <c r="Q26" s="33">
        <f t="shared" si="6"/>
        <v>0</v>
      </c>
      <c r="R26" s="33">
        <v>0</v>
      </c>
      <c r="S26" s="33">
        <f t="shared" si="7"/>
        <v>0</v>
      </c>
    </row>
    <row r="27" spans="2:19" x14ac:dyDescent="0.3">
      <c r="B27" s="32" t="s">
        <v>34</v>
      </c>
      <c r="C27" s="33">
        <f>SUMIF('Entrada AR'!$E$8:$E$43,'Reliquidación AR'!$B27,'Entrada AR'!F$8:F$43)</f>
        <v>1463055</v>
      </c>
      <c r="D27" s="33">
        <f>SUMIF('Entrada AR'!$E$8:$E$43,'Reliquidación AR'!$B27,'Entrada AR'!G$8:G$43)</f>
        <v>6702899</v>
      </c>
      <c r="E27" s="33">
        <f>SUMIF('Entrada AR'!$E$8:$E$43,'Reliquidación AR'!$B27,'Entrada AR'!H$8:H$43)</f>
        <v>452947</v>
      </c>
      <c r="F27" s="33">
        <f>SUMIF('Entrada AR'!$E$8:$E$43,'Reliquidación AR'!$B27,'Entrada AR'!I$8:I$43)</f>
        <v>83409</v>
      </c>
      <c r="G27" s="33">
        <f>SUMIF('Entrada AR'!$E$8:$E$43,'Reliquidación AR'!$B27,'Entrada AR'!J$8:J$43)</f>
        <v>606062.24958481919</v>
      </c>
      <c r="H27" s="33">
        <v>1750981.1501676454</v>
      </c>
      <c r="I27" s="33">
        <f t="shared" si="2"/>
        <v>1754388.6753417279</v>
      </c>
      <c r="J27" s="33">
        <v>0</v>
      </c>
      <c r="K27" s="33">
        <f t="shared" si="3"/>
        <v>0</v>
      </c>
      <c r="L27" s="33">
        <f>+'Reliquidación TD'!O27</f>
        <v>0</v>
      </c>
      <c r="M27" s="33">
        <f t="shared" si="0"/>
        <v>2360450.9249265473</v>
      </c>
      <c r="N27" s="33">
        <f t="shared" si="4"/>
        <v>0</v>
      </c>
      <c r="O27" s="33">
        <f t="shared" si="5"/>
        <v>2360450.9249265473</v>
      </c>
      <c r="P27" s="33">
        <f t="shared" si="1"/>
        <v>-874680.94671533268</v>
      </c>
      <c r="Q27" s="33">
        <f t="shared" si="6"/>
        <v>1485769.9782112148</v>
      </c>
      <c r="R27" s="33">
        <v>0</v>
      </c>
      <c r="S27" s="33">
        <f t="shared" si="7"/>
        <v>1485769.9782112148</v>
      </c>
    </row>
    <row r="28" spans="2:19" x14ac:dyDescent="0.3">
      <c r="B28" s="32" t="s">
        <v>35</v>
      </c>
      <c r="C28" s="33">
        <f>SUMIF('Entrada AR'!$E$8:$E$43,'Reliquidación AR'!$B28,'Entrada AR'!F$8:F$43)</f>
        <v>19843499.850000001</v>
      </c>
      <c r="D28" s="33">
        <f>SUMIF('Entrada AR'!$E$8:$E$43,'Reliquidación AR'!$B28,'Entrada AR'!G$8:G$43)</f>
        <v>54383712.899999999</v>
      </c>
      <c r="E28" s="33">
        <f>SUMIF('Entrada AR'!$E$8:$E$43,'Reliquidación AR'!$B28,'Entrada AR'!H$8:H$43)</f>
        <v>345398.01299999998</v>
      </c>
      <c r="F28" s="33">
        <f>SUMIF('Entrada AR'!$E$8:$E$43,'Reliquidación AR'!$B28,'Entrada AR'!I$8:I$43)</f>
        <v>156948</v>
      </c>
      <c r="G28" s="33">
        <f>SUMIF('Entrada AR'!$E$8:$E$43,'Reliquidación AR'!$B28,'Entrada AR'!J$8:J$43)</f>
        <v>5838964.2288965955</v>
      </c>
      <c r="H28" s="33">
        <v>15077299.982925039</v>
      </c>
      <c r="I28" s="33">
        <f t="shared" si="2"/>
        <v>15106641.406300208</v>
      </c>
      <c r="J28" s="33">
        <v>0</v>
      </c>
      <c r="K28" s="33">
        <f t="shared" si="3"/>
        <v>0</v>
      </c>
      <c r="L28" s="33">
        <f>+'Reliquidación TD'!O28</f>
        <v>-555.2603819699998</v>
      </c>
      <c r="M28" s="33">
        <f t="shared" si="0"/>
        <v>20945605.635196805</v>
      </c>
      <c r="N28" s="33">
        <f t="shared" si="4"/>
        <v>0</v>
      </c>
      <c r="O28" s="33">
        <f t="shared" si="5"/>
        <v>20945605.635196805</v>
      </c>
      <c r="P28" s="33">
        <f t="shared" si="1"/>
        <v>-7761534.8716008803</v>
      </c>
      <c r="Q28" s="33">
        <f t="shared" si="6"/>
        <v>13184070.763595924</v>
      </c>
      <c r="R28" s="33">
        <v>0</v>
      </c>
      <c r="S28" s="33">
        <f t="shared" si="7"/>
        <v>13184070.763595924</v>
      </c>
    </row>
    <row r="29" spans="2:19" x14ac:dyDescent="0.3">
      <c r="B29" s="32" t="s">
        <v>36</v>
      </c>
      <c r="C29" s="33">
        <f>SUMIF('Entrada AR'!$E$8:$E$43,'Reliquidación AR'!$B29,'Entrada AR'!F$8:F$43)</f>
        <v>7133658.7800000003</v>
      </c>
      <c r="D29" s="33">
        <f>SUMIF('Entrada AR'!$E$8:$E$43,'Reliquidación AR'!$B29,'Entrada AR'!G$8:G$43)</f>
        <v>5963228.7599999998</v>
      </c>
      <c r="E29" s="33">
        <f>SUMIF('Entrada AR'!$E$8:$E$43,'Reliquidación AR'!$B29,'Entrada AR'!H$8:H$43)</f>
        <v>251094.44</v>
      </c>
      <c r="F29" s="33">
        <f>SUMIF('Entrada AR'!$E$8:$E$43,'Reliquidación AR'!$B29,'Entrada AR'!I$8:I$43)</f>
        <v>6185</v>
      </c>
      <c r="G29" s="33">
        <f>SUMIF('Entrada AR'!$E$8:$E$43,'Reliquidación AR'!$B29,'Entrada AR'!J$8:J$43)</f>
        <v>941952.53147668787</v>
      </c>
      <c r="H29" s="33">
        <v>3391305.1374311894</v>
      </c>
      <c r="I29" s="33">
        <f t="shared" si="2"/>
        <v>3397904.8416185733</v>
      </c>
      <c r="J29" s="33">
        <v>0</v>
      </c>
      <c r="K29" s="33">
        <f t="shared" si="3"/>
        <v>0</v>
      </c>
      <c r="L29" s="33">
        <f>+'Reliquidación TD'!O29</f>
        <v>0</v>
      </c>
      <c r="M29" s="33">
        <f t="shared" si="0"/>
        <v>4339857.3730952609</v>
      </c>
      <c r="N29" s="33">
        <f t="shared" si="4"/>
        <v>0</v>
      </c>
      <c r="O29" s="33">
        <f t="shared" si="5"/>
        <v>4339857.3730952609</v>
      </c>
      <c r="P29" s="33">
        <f t="shared" si="1"/>
        <v>-1608163.3028768026</v>
      </c>
      <c r="Q29" s="33">
        <f t="shared" si="6"/>
        <v>2731694.0702184583</v>
      </c>
      <c r="R29" s="33">
        <v>0</v>
      </c>
      <c r="S29" s="33">
        <f t="shared" si="7"/>
        <v>2731694.0702184583</v>
      </c>
    </row>
    <row r="30" spans="2:19" x14ac:dyDescent="0.3">
      <c r="B30" s="32" t="s">
        <v>37</v>
      </c>
      <c r="C30" s="33">
        <f>SUMIF('Entrada AR'!$E$8:$E$43,'Reliquidación AR'!$B30,'Entrada AR'!F$8:F$43)</f>
        <v>39354660.060000002</v>
      </c>
      <c r="D30" s="33">
        <f>SUMIF('Entrada AR'!$E$8:$E$43,'Reliquidación AR'!$B30,'Entrada AR'!G$8:G$43)</f>
        <v>92812185.879999995</v>
      </c>
      <c r="E30" s="33">
        <f>SUMIF('Entrada AR'!$E$8:$E$43,'Reliquidación AR'!$B30,'Entrada AR'!H$8:H$43)</f>
        <v>214538.76500000001</v>
      </c>
      <c r="F30" s="33">
        <f>SUMIF('Entrada AR'!$E$8:$E$43,'Reliquidación AR'!$B30,'Entrada AR'!I$8:I$43)</f>
        <v>169489.5</v>
      </c>
      <c r="G30" s="33">
        <f>SUMIF('Entrada AR'!$E$8:$E$43,'Reliquidación AR'!$B30,'Entrada AR'!J$8:J$43)</f>
        <v>9908321.2038842458</v>
      </c>
      <c r="H30" s="33">
        <v>23316180.615290292</v>
      </c>
      <c r="I30" s="33">
        <f t="shared" si="2"/>
        <v>23361555.445511878</v>
      </c>
      <c r="J30" s="33">
        <v>0</v>
      </c>
      <c r="K30" s="33">
        <f t="shared" si="3"/>
        <v>0</v>
      </c>
      <c r="L30" s="33">
        <f>+'Reliquidación TD'!O30</f>
        <v>0</v>
      </c>
      <c r="M30" s="33">
        <f t="shared" si="0"/>
        <v>33269876.649396122</v>
      </c>
      <c r="N30" s="33">
        <f t="shared" si="4"/>
        <v>0</v>
      </c>
      <c r="O30" s="33">
        <f t="shared" si="5"/>
        <v>33269876.649396122</v>
      </c>
      <c r="P30" s="33">
        <f t="shared" si="1"/>
        <v>-12328376.285010749</v>
      </c>
      <c r="Q30" s="33">
        <f t="shared" si="6"/>
        <v>20941500.364385374</v>
      </c>
      <c r="R30" s="33">
        <v>0</v>
      </c>
      <c r="S30" s="33">
        <f t="shared" si="7"/>
        <v>20941500.364385374</v>
      </c>
    </row>
    <row r="31" spans="2:19" x14ac:dyDescent="0.3">
      <c r="B31" s="32" t="s">
        <v>38</v>
      </c>
      <c r="C31" s="33">
        <f>SUMIF('Entrada AR'!$E$8:$E$43,'Reliquidación AR'!$B31,'Entrada AR'!F$8:F$43)</f>
        <v>1443824</v>
      </c>
      <c r="D31" s="33">
        <f>SUMIF('Entrada AR'!$E$8:$E$43,'Reliquidación AR'!$B31,'Entrada AR'!G$8:G$43)</f>
        <v>3055711</v>
      </c>
      <c r="E31" s="33">
        <f>SUMIF('Entrada AR'!$E$8:$E$43,'Reliquidación AR'!$B31,'Entrada AR'!H$8:H$43)</f>
        <v>43473</v>
      </c>
      <c r="F31" s="33">
        <f>SUMIF('Entrada AR'!$E$8:$E$43,'Reliquidación AR'!$B31,'Entrada AR'!I$8:I$43)</f>
        <v>12997</v>
      </c>
      <c r="G31" s="33">
        <f>SUMIF('Entrada AR'!$E$8:$E$43,'Reliquidación AR'!$B31,'Entrada AR'!J$8:J$43)</f>
        <v>348383.7435609331</v>
      </c>
      <c r="H31" s="33">
        <v>1229058.056240319</v>
      </c>
      <c r="I31" s="33">
        <f t="shared" si="2"/>
        <v>1231449.884539925</v>
      </c>
      <c r="J31" s="33">
        <v>0</v>
      </c>
      <c r="K31" s="33">
        <f t="shared" si="3"/>
        <v>0</v>
      </c>
      <c r="L31" s="33">
        <f>+'Reliquidación TD'!O31</f>
        <v>0</v>
      </c>
      <c r="M31" s="33">
        <f t="shared" si="0"/>
        <v>1579833.6281008581</v>
      </c>
      <c r="N31" s="33">
        <f t="shared" si="4"/>
        <v>0</v>
      </c>
      <c r="O31" s="33">
        <f t="shared" si="5"/>
        <v>1579833.6281008581</v>
      </c>
      <c r="P31" s="33">
        <f t="shared" si="1"/>
        <v>-585417.96352871764</v>
      </c>
      <c r="Q31" s="33">
        <f t="shared" si="6"/>
        <v>994415.66457214043</v>
      </c>
      <c r="R31" s="33">
        <v>0</v>
      </c>
      <c r="S31" s="33">
        <f t="shared" si="7"/>
        <v>994415.66457214043</v>
      </c>
    </row>
    <row r="32" spans="2:19" x14ac:dyDescent="0.3">
      <c r="B32" s="32" t="s">
        <v>39</v>
      </c>
      <c r="C32" s="33">
        <f>SUMIF('Entrada AR'!$E$8:$E$43,'Reliquidación AR'!$B32,'Entrada AR'!F$8:F$43)</f>
        <v>36541776.799900003</v>
      </c>
      <c r="D32" s="33">
        <f>SUMIF('Entrada AR'!$E$8:$E$43,'Reliquidación AR'!$B32,'Entrada AR'!G$8:G$43)</f>
        <v>128663570.79539999</v>
      </c>
      <c r="E32" s="33">
        <f>SUMIF('Entrada AR'!$E$8:$E$43,'Reliquidación AR'!$B32,'Entrada AR'!H$8:H$43)</f>
        <v>2135002.7999999998</v>
      </c>
      <c r="F32" s="33">
        <f>SUMIF('Entrada AR'!$E$8:$E$43,'Reliquidación AR'!$B32,'Entrada AR'!I$8:I$43)</f>
        <v>541320.1</v>
      </c>
      <c r="G32" s="33">
        <f>SUMIF('Entrada AR'!$E$8:$E$43,'Reliquidación AR'!$B32,'Entrada AR'!J$8:J$43)</f>
        <v>17843967.543826371</v>
      </c>
      <c r="H32" s="33">
        <v>31950582.376849979</v>
      </c>
      <c r="I32" s="33">
        <f t="shared" si="2"/>
        <v>32012760.324205544</v>
      </c>
      <c r="J32" s="33">
        <v>0</v>
      </c>
      <c r="K32" s="33">
        <f t="shared" si="3"/>
        <v>0</v>
      </c>
      <c r="L32" s="33">
        <f>+'Reliquidación TD'!O32</f>
        <v>-5538.9606350515924</v>
      </c>
      <c r="M32" s="33">
        <f t="shared" si="0"/>
        <v>49856727.868031919</v>
      </c>
      <c r="N32" s="33">
        <f t="shared" si="4"/>
        <v>0</v>
      </c>
      <c r="O32" s="33">
        <f t="shared" si="5"/>
        <v>49856727.868031919</v>
      </c>
      <c r="P32" s="33">
        <f t="shared" si="1"/>
        <v>-18474745.427336469</v>
      </c>
      <c r="Q32" s="33">
        <f t="shared" si="6"/>
        <v>31381982.44069545</v>
      </c>
      <c r="R32" s="33">
        <v>0</v>
      </c>
      <c r="S32" s="33">
        <f t="shared" si="7"/>
        <v>31381982.44069545</v>
      </c>
    </row>
    <row r="33" spans="2:19" x14ac:dyDescent="0.3">
      <c r="B33" s="32" t="s">
        <v>40</v>
      </c>
      <c r="C33" s="33">
        <f>SUMIF('Entrada AR'!$E$8:$E$43,'Reliquidación AR'!$B33,'Entrada AR'!F$8:F$43)</f>
        <v>1475178.1</v>
      </c>
      <c r="D33" s="33">
        <f>SUMIF('Entrada AR'!$E$8:$E$43,'Reliquidación AR'!$B33,'Entrada AR'!G$8:G$43)</f>
        <v>2100617</v>
      </c>
      <c r="E33" s="33">
        <f>SUMIF('Entrada AR'!$E$8:$E$43,'Reliquidación AR'!$B33,'Entrada AR'!H$8:H$43)</f>
        <v>44500</v>
      </c>
      <c r="F33" s="33">
        <f>SUMIF('Entrada AR'!$E$8:$E$43,'Reliquidación AR'!$B33,'Entrada AR'!I$8:I$43)</f>
        <v>101631</v>
      </c>
      <c r="G33" s="33">
        <f>SUMIF('Entrada AR'!$E$8:$E$43,'Reliquidación AR'!$B33,'Entrada AR'!J$8:J$43)</f>
        <v>321519.9621744153</v>
      </c>
      <c r="H33" s="33">
        <v>646311.60246182664</v>
      </c>
      <c r="I33" s="33">
        <f t="shared" si="2"/>
        <v>647569.36760423228</v>
      </c>
      <c r="J33" s="33">
        <v>0</v>
      </c>
      <c r="K33" s="33">
        <f t="shared" si="3"/>
        <v>0</v>
      </c>
      <c r="L33" s="33">
        <f>+'Reliquidación TD'!O33</f>
        <v>0</v>
      </c>
      <c r="M33" s="33">
        <f t="shared" si="0"/>
        <v>969089.32977864752</v>
      </c>
      <c r="N33" s="33">
        <f t="shared" si="4"/>
        <v>0</v>
      </c>
      <c r="O33" s="33">
        <f t="shared" si="5"/>
        <v>969089.32977864752</v>
      </c>
      <c r="P33" s="33">
        <f t="shared" si="1"/>
        <v>-359102.56107056822</v>
      </c>
      <c r="Q33" s="33">
        <f t="shared" si="6"/>
        <v>609986.76870807935</v>
      </c>
      <c r="R33" s="33">
        <v>0</v>
      </c>
      <c r="S33" s="33">
        <f t="shared" si="7"/>
        <v>609986.76870807935</v>
      </c>
    </row>
    <row r="34" spans="2:19" x14ac:dyDescent="0.3">
      <c r="B34" s="32" t="s">
        <v>41</v>
      </c>
      <c r="C34" s="33">
        <f>SUMIF('Entrada AR'!$E$8:$E$43,'Reliquidación AR'!$B34,'Entrada AR'!F$8:F$43)</f>
        <v>1194031.6000000001</v>
      </c>
      <c r="D34" s="33">
        <f>SUMIF('Entrada AR'!$E$8:$E$43,'Reliquidación AR'!$B34,'Entrada AR'!G$8:G$43)</f>
        <v>8896470.5328899994</v>
      </c>
      <c r="E34" s="33">
        <f>SUMIF('Entrada AR'!$E$8:$E$43,'Reliquidación AR'!$B34,'Entrada AR'!H$8:H$43)</f>
        <v>4586</v>
      </c>
      <c r="F34" s="33">
        <f>SUMIF('Entrada AR'!$E$8:$E$43,'Reliquidación AR'!$B34,'Entrada AR'!I$8:I$43)</f>
        <v>29757</v>
      </c>
      <c r="G34" s="33">
        <f>SUMIF('Entrada AR'!$E$8:$E$43,'Reliquidación AR'!$B34,'Entrada AR'!J$8:J$43)</f>
        <v>828906.45276305708</v>
      </c>
      <c r="H34" s="33">
        <v>1670815.9912816477</v>
      </c>
      <c r="I34" s="33">
        <f t="shared" si="2"/>
        <v>1674067.5097523101</v>
      </c>
      <c r="J34" s="33">
        <v>0</v>
      </c>
      <c r="K34" s="33">
        <f t="shared" si="3"/>
        <v>0</v>
      </c>
      <c r="L34" s="33">
        <f>+'Reliquidación TD'!O34</f>
        <v>-2020.4594872888592</v>
      </c>
      <c r="M34" s="33">
        <f t="shared" si="0"/>
        <v>2502973.9625153672</v>
      </c>
      <c r="N34" s="33">
        <f t="shared" si="4"/>
        <v>0</v>
      </c>
      <c r="O34" s="33">
        <f t="shared" si="5"/>
        <v>2502973.9625153672</v>
      </c>
      <c r="P34" s="33">
        <f t="shared" si="1"/>
        <v>-927493.81570171635</v>
      </c>
      <c r="Q34" s="33">
        <f t="shared" si="6"/>
        <v>1575480.1468136508</v>
      </c>
      <c r="R34" s="33">
        <v>0</v>
      </c>
      <c r="S34" s="33">
        <f t="shared" si="7"/>
        <v>1575480.1468136508</v>
      </c>
    </row>
    <row r="35" spans="2:19" x14ac:dyDescent="0.3">
      <c r="B35" s="32" t="s">
        <v>42</v>
      </c>
      <c r="C35" s="33">
        <f>SUMIF('Entrada AR'!$E$8:$E$43,'Reliquidación AR'!$B35,'Entrada AR'!F$8:F$43)</f>
        <v>1197237</v>
      </c>
      <c r="D35" s="33">
        <f>SUMIF('Entrada AR'!$E$8:$E$43,'Reliquidación AR'!$B35,'Entrada AR'!G$8:G$43)</f>
        <v>6485116.0861</v>
      </c>
      <c r="E35" s="33">
        <f>SUMIF('Entrada AR'!$E$8:$E$43,'Reliquidación AR'!$B35,'Entrada AR'!H$8:H$43)</f>
        <v>208213</v>
      </c>
      <c r="F35" s="33">
        <f>SUMIF('Entrada AR'!$E$8:$E$43,'Reliquidación AR'!$B35,'Entrada AR'!I$8:I$43)</f>
        <v>24801</v>
      </c>
      <c r="G35" s="33">
        <f>SUMIF('Entrada AR'!$E$8:$E$43,'Reliquidación AR'!$B35,'Entrada AR'!J$8:J$43)</f>
        <v>820377.86463770363</v>
      </c>
      <c r="H35" s="33">
        <v>2185218.9625760149</v>
      </c>
      <c r="I35" s="33">
        <f t="shared" si="2"/>
        <v>2189471.5432649315</v>
      </c>
      <c r="J35" s="33">
        <v>0</v>
      </c>
      <c r="K35" s="33">
        <f t="shared" si="3"/>
        <v>0</v>
      </c>
      <c r="L35" s="33">
        <f>+'Reliquidación TD'!O35</f>
        <v>-980.23075180656463</v>
      </c>
      <c r="M35" s="33">
        <f t="shared" si="0"/>
        <v>3009849.4079026352</v>
      </c>
      <c r="N35" s="33">
        <f t="shared" si="4"/>
        <v>0</v>
      </c>
      <c r="O35" s="33">
        <f t="shared" si="5"/>
        <v>3009849.4079026352</v>
      </c>
      <c r="P35" s="33">
        <f t="shared" si="1"/>
        <v>-1115319.9169589954</v>
      </c>
      <c r="Q35" s="33">
        <f t="shared" si="6"/>
        <v>1894529.4909436398</v>
      </c>
      <c r="R35" s="33">
        <v>0</v>
      </c>
      <c r="S35" s="33">
        <f t="shared" si="7"/>
        <v>1894529.4909436398</v>
      </c>
    </row>
    <row r="36" spans="2:19" x14ac:dyDescent="0.3">
      <c r="B36" s="32" t="s">
        <v>43</v>
      </c>
      <c r="C36" s="33">
        <f>SUMIF('Entrada AR'!$E$8:$E$43,'Reliquidación AR'!$B36,'Entrada AR'!F$8:F$43)</f>
        <v>1872112.5</v>
      </c>
      <c r="D36" s="33">
        <f>SUMIF('Entrada AR'!$E$8:$E$43,'Reliquidación AR'!$B36,'Entrada AR'!G$8:G$43)</f>
        <v>4353240.0689000003</v>
      </c>
      <c r="E36" s="33">
        <f>SUMIF('Entrada AR'!$E$8:$E$43,'Reliquidación AR'!$B36,'Entrada AR'!H$8:H$43)</f>
        <v>668120.6</v>
      </c>
      <c r="F36" s="33">
        <f>SUMIF('Entrada AR'!$E$8:$E$43,'Reliquidación AR'!$B36,'Entrada AR'!I$8:I$43)</f>
        <v>58921.3</v>
      </c>
      <c r="G36" s="33">
        <f>SUMIF('Entrada AR'!$E$8:$E$43,'Reliquidación AR'!$B36,'Entrada AR'!J$8:J$43)</f>
        <v>-112735.1220547603</v>
      </c>
      <c r="H36" s="33">
        <v>2017108.8336140309</v>
      </c>
      <c r="I36" s="33">
        <f t="shared" si="2"/>
        <v>2021034.2608687708</v>
      </c>
      <c r="J36" s="33">
        <v>0</v>
      </c>
      <c r="K36" s="33">
        <f t="shared" si="3"/>
        <v>0</v>
      </c>
      <c r="L36" s="33">
        <f>+'Reliquidación TD'!O36</f>
        <v>-3645.1608053601985</v>
      </c>
      <c r="M36" s="33">
        <f t="shared" si="0"/>
        <v>1908299.1388140104</v>
      </c>
      <c r="N36" s="33">
        <f t="shared" si="4"/>
        <v>0</v>
      </c>
      <c r="O36" s="33">
        <f t="shared" si="5"/>
        <v>1908299.1388140104</v>
      </c>
      <c r="P36" s="33">
        <f t="shared" si="1"/>
        <v>-707133.06501207326</v>
      </c>
      <c r="Q36" s="33">
        <f t="shared" si="6"/>
        <v>1201166.073801937</v>
      </c>
      <c r="R36" s="33">
        <v>0</v>
      </c>
      <c r="S36" s="33">
        <f t="shared" si="7"/>
        <v>1201166.073801937</v>
      </c>
    </row>
    <row r="37" spans="2:19" x14ac:dyDescent="0.3">
      <c r="B37" s="32" t="s">
        <v>45</v>
      </c>
      <c r="C37" s="33">
        <f>SUMIF('Entrada AR'!$E$8:$E$43,'Reliquidación AR'!$B37,'Entrada AR'!F$8:F$43)</f>
        <v>461393</v>
      </c>
      <c r="D37" s="33">
        <f>SUMIF('Entrada AR'!$E$8:$E$43,'Reliquidación AR'!$B37,'Entrada AR'!G$8:G$43)</f>
        <v>822365</v>
      </c>
      <c r="E37" s="33">
        <f>SUMIF('Entrada AR'!$E$8:$E$43,'Reliquidación AR'!$B37,'Entrada AR'!H$8:H$43)</f>
        <v>35744</v>
      </c>
      <c r="F37" s="33">
        <f>SUMIF('Entrada AR'!$E$8:$E$43,'Reliquidación AR'!$B37,'Entrada AR'!I$8:I$43)</f>
        <v>10574</v>
      </c>
      <c r="G37" s="33">
        <f>SUMIF('Entrada AR'!$E$8:$E$43,'Reliquidación AR'!$B37,'Entrada AR'!J$8:J$43)</f>
        <v>101100.9617768423</v>
      </c>
      <c r="H37" s="33">
        <v>247624.93655601231</v>
      </c>
      <c r="I37" s="33">
        <f t="shared" si="2"/>
        <v>248106.83106696373</v>
      </c>
      <c r="J37" s="33">
        <v>0</v>
      </c>
      <c r="K37" s="33">
        <f t="shared" si="3"/>
        <v>0</v>
      </c>
      <c r="L37" s="33">
        <f>+'Reliquidación TD'!O37</f>
        <v>0</v>
      </c>
      <c r="M37" s="33">
        <f t="shared" si="0"/>
        <v>349207.79284380603</v>
      </c>
      <c r="N37" s="33">
        <f t="shared" si="4"/>
        <v>0</v>
      </c>
      <c r="O37" s="33">
        <f t="shared" si="5"/>
        <v>349207.79284380603</v>
      </c>
      <c r="P37" s="33">
        <f t="shared" si="1"/>
        <v>-129401.29346450907</v>
      </c>
      <c r="Q37" s="33">
        <f t="shared" si="6"/>
        <v>219806.49937929696</v>
      </c>
      <c r="R37" s="33">
        <v>0</v>
      </c>
      <c r="S37" s="33">
        <f t="shared" si="7"/>
        <v>219806.49937929696</v>
      </c>
    </row>
    <row r="38" spans="2:19" x14ac:dyDescent="0.3">
      <c r="B38" s="32" t="s">
        <v>46</v>
      </c>
      <c r="C38" s="33">
        <f>SUMIF('Entrada AR'!$E$8:$E$43,'Reliquidación AR'!$B38,'Entrada AR'!F$8:F$43)</f>
        <v>3961195.628</v>
      </c>
      <c r="D38" s="33">
        <f>SUMIF('Entrada AR'!$E$8:$E$43,'Reliquidación AR'!$B38,'Entrada AR'!G$8:G$43)</f>
        <v>16909394.219999999</v>
      </c>
      <c r="E38" s="33">
        <f>SUMIF('Entrada AR'!$E$8:$E$43,'Reliquidación AR'!$B38,'Entrada AR'!H$8:H$43)</f>
        <v>23031</v>
      </c>
      <c r="F38" s="33">
        <f>SUMIF('Entrada AR'!$E$8:$E$43,'Reliquidación AR'!$B38,'Entrada AR'!I$8:I$43)</f>
        <v>27201.012999999999</v>
      </c>
      <c r="G38" s="33">
        <f>SUMIF('Entrada AR'!$E$8:$E$43,'Reliquidación AR'!$B38,'Entrada AR'!J$8:J$43)</f>
        <v>1684869.9021578659</v>
      </c>
      <c r="H38" s="33">
        <v>3459288.761544982</v>
      </c>
      <c r="I38" s="33">
        <f t="shared" si="2"/>
        <v>3466020.7663631127</v>
      </c>
      <c r="J38" s="33">
        <v>0</v>
      </c>
      <c r="K38" s="33">
        <f t="shared" si="3"/>
        <v>0</v>
      </c>
      <c r="L38" s="33">
        <f>+'Reliquidación TD'!O38</f>
        <v>4.896533104280989</v>
      </c>
      <c r="M38" s="33">
        <f t="shared" si="0"/>
        <v>5150890.6685209787</v>
      </c>
      <c r="N38" s="33">
        <f>IF(M38&lt;0,-M38,0)</f>
        <v>0</v>
      </c>
      <c r="O38" s="33">
        <f>IF(M38&gt;0,M38,0)</f>
        <v>5150890.6685209787</v>
      </c>
      <c r="P38" s="33">
        <f t="shared" si="1"/>
        <v>-1908697.138666122</v>
      </c>
      <c r="Q38" s="33">
        <f t="shared" si="6"/>
        <v>3242193.5298548564</v>
      </c>
      <c r="R38" s="33">
        <v>0</v>
      </c>
      <c r="S38" s="33">
        <f t="shared" si="7"/>
        <v>3242193.5298548564</v>
      </c>
    </row>
    <row r="39" spans="2:19" x14ac:dyDescent="0.3">
      <c r="B39" s="32" t="s">
        <v>47</v>
      </c>
      <c r="C39" s="33">
        <f>SUMIF('Entrada AR'!$E$8:$E$43,'Reliquidación AR'!$B39,'Entrada AR'!F$8:F$43)</f>
        <v>6290359.4550000001</v>
      </c>
      <c r="D39" s="33">
        <f>SUMIF('Entrada AR'!$E$8:$E$43,'Reliquidación AR'!$B39,'Entrada AR'!G$8:G$43)</f>
        <v>26313027.732999999</v>
      </c>
      <c r="E39" s="33">
        <f>SUMIF('Entrada AR'!$E$8:$E$43,'Reliquidación AR'!$B39,'Entrada AR'!H$8:H$43)</f>
        <v>21082.98</v>
      </c>
      <c r="F39" s="33">
        <f>SUMIF('Entrada AR'!$E$8:$E$43,'Reliquidación AR'!$B39,'Entrada AR'!I$8:I$43)</f>
        <v>13251.951999999999</v>
      </c>
      <c r="G39" s="33">
        <f>SUMIF('Entrada AR'!$E$8:$E$43,'Reliquidación AR'!$B39,'Entrada AR'!J$8:J$43)</f>
        <v>2816256.016823865</v>
      </c>
      <c r="H39" s="33">
        <v>5104367.6268826947</v>
      </c>
      <c r="I39" s="33">
        <f t="shared" si="2"/>
        <v>5114301.0640214719</v>
      </c>
      <c r="J39" s="33">
        <v>0</v>
      </c>
      <c r="K39" s="33">
        <f t="shared" si="3"/>
        <v>0</v>
      </c>
      <c r="L39" s="33">
        <f>+'Reliquidación TD'!O39</f>
        <v>-14631.193798726839</v>
      </c>
      <c r="M39" s="33">
        <f t="shared" si="0"/>
        <v>7930557.0808453374</v>
      </c>
      <c r="N39" s="33">
        <f t="shared" si="4"/>
        <v>0</v>
      </c>
      <c r="O39" s="33">
        <f t="shared" si="5"/>
        <v>7930557.0808453374</v>
      </c>
      <c r="P39" s="33">
        <f t="shared" si="1"/>
        <v>-2938721.2003442277</v>
      </c>
      <c r="Q39" s="33">
        <f t="shared" si="6"/>
        <v>4991835.8805011101</v>
      </c>
      <c r="R39" s="33">
        <v>0</v>
      </c>
      <c r="S39" s="33">
        <f t="shared" si="7"/>
        <v>4991835.8805011101</v>
      </c>
    </row>
    <row r="40" spans="2:19" x14ac:dyDescent="0.3">
      <c r="B40" s="32" t="s">
        <v>48</v>
      </c>
      <c r="C40" s="33">
        <f>SUMIF('Entrada AR'!$E$8:$E$43,'Reliquidación AR'!$B40,'Entrada AR'!F$8:F$43)</f>
        <v>14002507.805</v>
      </c>
      <c r="D40" s="33">
        <f>SUMIF('Entrada AR'!$E$8:$E$43,'Reliquidación AR'!$B40,'Entrada AR'!G$8:G$43)</f>
        <v>49466280.186999999</v>
      </c>
      <c r="E40" s="33">
        <f>SUMIF('Entrada AR'!$E$8:$E$43,'Reliquidación AR'!$B40,'Entrada AR'!H$8:H$43)</f>
        <v>77651.819999999992</v>
      </c>
      <c r="F40" s="33">
        <f>SUMIF('Entrada AR'!$E$8:$E$43,'Reliquidación AR'!$B40,'Entrada AR'!I$8:I$43)</f>
        <v>49683.195</v>
      </c>
      <c r="G40" s="33">
        <f>SUMIF('Entrada AR'!$E$8:$E$43,'Reliquidación AR'!$B40,'Entrada AR'!J$8:J$43)</f>
        <v>5582522.0473297369</v>
      </c>
      <c r="H40" s="33">
        <v>10727044.252926424</v>
      </c>
      <c r="I40" s="33">
        <f t="shared" si="2"/>
        <v>10747919.790810909</v>
      </c>
      <c r="J40" s="33">
        <v>0</v>
      </c>
      <c r="K40" s="33">
        <f t="shared" si="3"/>
        <v>0</v>
      </c>
      <c r="L40" s="33">
        <f>+'Reliquidación TD'!O40</f>
        <v>155.44481581400592</v>
      </c>
      <c r="M40" s="33">
        <f t="shared" si="0"/>
        <v>16330441.838140646</v>
      </c>
      <c r="N40" s="33">
        <f t="shared" si="4"/>
        <v>0</v>
      </c>
      <c r="O40" s="33">
        <f t="shared" si="5"/>
        <v>16330441.838140646</v>
      </c>
      <c r="P40" s="33">
        <f t="shared" si="1"/>
        <v>-6051354.9239364192</v>
      </c>
      <c r="Q40" s="33">
        <f t="shared" si="6"/>
        <v>10279086.914204227</v>
      </c>
      <c r="R40" s="33">
        <v>0</v>
      </c>
      <c r="S40" s="33">
        <f t="shared" si="7"/>
        <v>10279086.914204227</v>
      </c>
    </row>
    <row r="41" spans="2:19" x14ac:dyDescent="0.3">
      <c r="B41" s="32" t="s">
        <v>49</v>
      </c>
      <c r="C41" s="33">
        <f>SUMIF('Entrada AR'!$E$8:$E$43,'Reliquidación AR'!$B41,'Entrada AR'!F$8:F$43)</f>
        <v>0</v>
      </c>
      <c r="D41" s="33">
        <f>SUMIF('Entrada AR'!$E$8:$E$43,'Reliquidación AR'!$B41,'Entrada AR'!G$8:G$43)</f>
        <v>0</v>
      </c>
      <c r="E41" s="33">
        <f>SUMIF('Entrada AR'!$E$8:$E$43,'Reliquidación AR'!$B41,'Entrada AR'!H$8:H$43)</f>
        <v>0</v>
      </c>
      <c r="F41" s="33">
        <f>SUMIF('Entrada AR'!$E$8:$E$43,'Reliquidación AR'!$B41,'Entrada AR'!I$8:I$43)</f>
        <v>0</v>
      </c>
      <c r="G41" s="33">
        <f>SUMIF('Entrada AR'!$E$8:$E$43,'Reliquidación AR'!$B41,'Entrada AR'!J$8:J$43)</f>
        <v>0</v>
      </c>
      <c r="H41" s="33">
        <v>0</v>
      </c>
      <c r="I41" s="33">
        <f>H41*($I$4+1)</f>
        <v>0</v>
      </c>
      <c r="J41" s="33">
        <v>0</v>
      </c>
      <c r="K41" s="33">
        <f t="shared" si="3"/>
        <v>0</v>
      </c>
      <c r="L41" s="33">
        <f>+'Reliquidación TD'!O41</f>
        <v>0</v>
      </c>
      <c r="M41" s="33">
        <f t="shared" si="0"/>
        <v>0</v>
      </c>
      <c r="N41" s="33">
        <f>IF(M41&lt;0,-M41,0)</f>
        <v>0</v>
      </c>
      <c r="O41" s="33">
        <f>IF(M41&gt;0,M41,0)</f>
        <v>0</v>
      </c>
      <c r="P41" s="33">
        <f t="shared" si="1"/>
        <v>0</v>
      </c>
      <c r="Q41" s="33">
        <f>M41+P41</f>
        <v>0</v>
      </c>
      <c r="R41" s="33">
        <v>0</v>
      </c>
      <c r="S41" s="33">
        <f t="shared" si="7"/>
        <v>0</v>
      </c>
    </row>
    <row r="42" spans="2:19" x14ac:dyDescent="0.3">
      <c r="B42" s="32" t="s">
        <v>50</v>
      </c>
      <c r="C42" s="33">
        <f>SUMIF('Entrada AR'!$E$8:$E$43,'Reliquidación AR'!$B42,'Entrada AR'!F$8:F$43)</f>
        <v>0</v>
      </c>
      <c r="D42" s="33">
        <f>SUMIF('Entrada AR'!$E$8:$E$43,'Reliquidación AR'!$B42,'Entrada AR'!G$8:G$43)</f>
        <v>14290</v>
      </c>
      <c r="E42" s="33">
        <f>SUMIF('Entrada AR'!$E$8:$E$43,'Reliquidación AR'!$B42,'Entrada AR'!H$8:H$43)</f>
        <v>0</v>
      </c>
      <c r="F42" s="33">
        <f>SUMIF('Entrada AR'!$E$8:$E$43,'Reliquidación AR'!$B42,'Entrada AR'!I$8:I$43)</f>
        <v>0</v>
      </c>
      <c r="G42" s="33">
        <f>SUMIF('Entrada AR'!$E$8:$E$43,'Reliquidación AR'!$B42,'Entrada AR'!J$8:J$43)</f>
        <v>1182.0074959000001</v>
      </c>
      <c r="H42" s="33">
        <v>1623.9821344861866</v>
      </c>
      <c r="I42" s="33">
        <f>H42*($I$4+1)</f>
        <v>1627.1425111727044</v>
      </c>
      <c r="J42" s="33">
        <v>0</v>
      </c>
      <c r="K42" s="33">
        <f t="shared" si="3"/>
        <v>0</v>
      </c>
      <c r="L42" s="33">
        <f>+'Reliquidación TD'!O42</f>
        <v>0</v>
      </c>
      <c r="M42" s="33">
        <f t="shared" si="0"/>
        <v>2809.1500070727043</v>
      </c>
      <c r="N42" s="33">
        <f>IF(M42&lt;0,-M42,0)</f>
        <v>0</v>
      </c>
      <c r="O42" s="33">
        <f>IF(M42&gt;0,M42,0)</f>
        <v>2809.1500070727043</v>
      </c>
      <c r="P42" s="33">
        <f t="shared" si="1"/>
        <v>-1040.9494057700847</v>
      </c>
      <c r="Q42" s="33">
        <f>M42+P42</f>
        <v>1768.2006013026196</v>
      </c>
      <c r="R42" s="33">
        <v>0</v>
      </c>
      <c r="S42" s="33">
        <f t="shared" si="7"/>
        <v>1768.2006013026196</v>
      </c>
    </row>
    <row r="43" spans="2:19" x14ac:dyDescent="0.3">
      <c r="B43" s="34" t="s">
        <v>51</v>
      </c>
      <c r="C43" s="35">
        <f>SUMIF('Entrada AR'!$E$8:$E$43,'Reliquidación AR'!$B43,'Entrada AR'!F$8:F$43)</f>
        <v>32785.800000000003</v>
      </c>
      <c r="D43" s="35">
        <f>SUMIF('Entrada AR'!$E$8:$E$43,'Reliquidación AR'!$B43,'Entrada AR'!G$8:G$43)</f>
        <v>63849.399999999987</v>
      </c>
      <c r="E43" s="35">
        <f>SUMIF('Entrada AR'!$E$8:$E$43,'Reliquidación AR'!$B43,'Entrada AR'!H$8:H$43)</f>
        <v>0</v>
      </c>
      <c r="F43" s="35">
        <f>SUMIF('Entrada AR'!$E$8:$E$43,'Reliquidación AR'!$B43,'Entrada AR'!I$8:I$43)</f>
        <v>0</v>
      </c>
      <c r="G43" s="35">
        <f>SUMIF('Entrada AR'!$E$8:$E$43,'Reliquidación AR'!$B43,'Entrada AR'!J$8:J$43)</f>
        <v>7757.7998605843677</v>
      </c>
      <c r="H43" s="35">
        <v>9931.5891537095813</v>
      </c>
      <c r="I43" s="35">
        <f>H43*($I$4+1)</f>
        <v>9950.9166833387098</v>
      </c>
      <c r="J43" s="35">
        <v>0</v>
      </c>
      <c r="K43" s="35">
        <f t="shared" si="3"/>
        <v>0</v>
      </c>
      <c r="L43" s="35">
        <f>+'Reliquidación TD'!O43</f>
        <v>0</v>
      </c>
      <c r="M43" s="35">
        <f t="shared" si="0"/>
        <v>17708.716543923078</v>
      </c>
      <c r="N43" s="35">
        <f t="shared" si="4"/>
        <v>0</v>
      </c>
      <c r="O43" s="35">
        <f t="shared" si="5"/>
        <v>17708.716543923078</v>
      </c>
      <c r="P43" s="35">
        <f>IF(OR($N$44=0,$O$44=0),0,(N43/$N$44-O43/$O$44)*$O$49)</f>
        <v>-6562.0838748147726</v>
      </c>
      <c r="Q43" s="35">
        <f t="shared" si="6"/>
        <v>11146.632669108305</v>
      </c>
      <c r="R43" s="35">
        <v>0</v>
      </c>
      <c r="S43" s="35">
        <f t="shared" si="7"/>
        <v>11146.632669108305</v>
      </c>
    </row>
    <row r="44" spans="2:19" x14ac:dyDescent="0.3">
      <c r="B44" s="36" t="s">
        <v>66</v>
      </c>
      <c r="C44" s="13">
        <f t="shared" ref="C44:Q44" si="8">SUM(C9:C43)</f>
        <v>444233908.87722719</v>
      </c>
      <c r="D44" s="13">
        <f t="shared" si="8"/>
        <v>1573315263.2707455</v>
      </c>
      <c r="E44" s="13">
        <f t="shared" si="8"/>
        <v>13592691.643000001</v>
      </c>
      <c r="F44" s="13">
        <f t="shared" si="8"/>
        <v>4248187.83</v>
      </c>
      <c r="G44" s="13">
        <f t="shared" si="8"/>
        <v>-14321776.212235058</v>
      </c>
      <c r="H44" s="13">
        <f t="shared" si="8"/>
        <v>290285626.45979589</v>
      </c>
      <c r="I44" s="13">
        <f t="shared" si="8"/>
        <v>290850541.49599791</v>
      </c>
      <c r="J44" s="13">
        <f t="shared" si="8"/>
        <v>0</v>
      </c>
      <c r="K44" s="13">
        <f t="shared" si="8"/>
        <v>0</v>
      </c>
      <c r="L44" s="13">
        <f t="shared" si="8"/>
        <v>-1.6768808563938364E-12</v>
      </c>
      <c r="M44" s="13">
        <f>SUM(M9:M43)</f>
        <v>276528765.28376293</v>
      </c>
      <c r="N44" s="13">
        <f t="shared" si="8"/>
        <v>162794002.94763479</v>
      </c>
      <c r="O44" s="13">
        <f>SUM(O9:O43)</f>
        <v>439322768.23139769</v>
      </c>
      <c r="P44" s="13">
        <f t="shared" si="8"/>
        <v>-9.2095433501526713E-9</v>
      </c>
      <c r="Q44" s="13">
        <f t="shared" si="8"/>
        <v>276528765.28376287</v>
      </c>
      <c r="R44" s="13">
        <f t="shared" ref="R44:S44" si="9">SUM(R9:R43)</f>
        <v>0</v>
      </c>
      <c r="S44" s="13">
        <f t="shared" si="9"/>
        <v>276528765.28376287</v>
      </c>
    </row>
    <row r="45" spans="2:19" x14ac:dyDescent="0.3">
      <c r="B45" s="40"/>
      <c r="C45"/>
      <c r="D45"/>
      <c r="E45"/>
      <c r="F45"/>
      <c r="G45"/>
      <c r="H45"/>
      <c r="I45"/>
      <c r="J45"/>
      <c r="K45"/>
      <c r="L45"/>
      <c r="M45"/>
      <c r="N45" s="41"/>
      <c r="O45" s="41"/>
      <c r="P45"/>
    </row>
    <row r="46" spans="2:19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2:19" x14ac:dyDescent="0.3">
      <c r="B47"/>
      <c r="C47"/>
      <c r="H47" s="48"/>
      <c r="I47" s="14"/>
      <c r="J47" s="14"/>
      <c r="K47" s="14"/>
      <c r="L47" s="14"/>
      <c r="M47" s="14"/>
      <c r="N47" s="4" t="s">
        <v>75</v>
      </c>
      <c r="O47" s="43">
        <f>O44</f>
        <v>439322768.23139769</v>
      </c>
      <c r="P47"/>
    </row>
    <row r="48" spans="2:19" x14ac:dyDescent="0.3">
      <c r="B48"/>
      <c r="C48"/>
      <c r="H48" s="42"/>
      <c r="I48" s="14"/>
      <c r="J48" s="14"/>
      <c r="K48" s="14"/>
      <c r="L48" s="14"/>
      <c r="M48" s="14"/>
      <c r="N48" s="4" t="s">
        <v>76</v>
      </c>
      <c r="O48" s="43">
        <f>N44</f>
        <v>162794002.94763479</v>
      </c>
      <c r="P48"/>
      <c r="Q48" s="44"/>
    </row>
    <row r="49" spans="2:17" x14ac:dyDescent="0.3">
      <c r="B49"/>
      <c r="C49"/>
      <c r="H49" s="42"/>
      <c r="I49"/>
      <c r="J49"/>
      <c r="K49"/>
      <c r="L49"/>
      <c r="M49"/>
      <c r="N49" s="4" t="s">
        <v>69</v>
      </c>
      <c r="O49" s="43">
        <f>+IF(O48&lt;O47,O48,O47)</f>
        <v>162794002.94763479</v>
      </c>
      <c r="P49"/>
      <c r="Q49" s="44"/>
    </row>
    <row r="50" spans="2:17" x14ac:dyDescent="0.3">
      <c r="B50"/>
      <c r="N50" s="14"/>
      <c r="O50"/>
    </row>
    <row r="51" spans="2:17" x14ac:dyDescent="0.3">
      <c r="B51"/>
      <c r="G51" s="44"/>
      <c r="J51"/>
    </row>
    <row r="52" spans="2:17" x14ac:dyDescent="0.3">
      <c r="B52"/>
    </row>
    <row r="53" spans="2:17" x14ac:dyDescent="0.3">
      <c r="B53"/>
    </row>
    <row r="54" spans="2:17" x14ac:dyDescent="0.3">
      <c r="B54"/>
    </row>
    <row r="55" spans="2:17" x14ac:dyDescent="0.3">
      <c r="B55"/>
    </row>
    <row r="56" spans="2:17" x14ac:dyDescent="0.3">
      <c r="B56"/>
    </row>
    <row r="57" spans="2:17" x14ac:dyDescent="0.3">
      <c r="B57"/>
    </row>
    <row r="58" spans="2:17" x14ac:dyDescent="0.3">
      <c r="B58"/>
    </row>
    <row r="59" spans="2:17" x14ac:dyDescent="0.3">
      <c r="B59"/>
    </row>
    <row r="60" spans="2:17" x14ac:dyDescent="0.3">
      <c r="B60"/>
    </row>
    <row r="61" spans="2:17" x14ac:dyDescent="0.3">
      <c r="B61"/>
    </row>
    <row r="62" spans="2:17" x14ac:dyDescent="0.3">
      <c r="B62"/>
    </row>
    <row r="63" spans="2:17" x14ac:dyDescent="0.3">
      <c r="B63"/>
    </row>
    <row r="64" spans="2:17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6" spans="2:2" x14ac:dyDescent="0.3">
      <c r="B86"/>
    </row>
    <row r="87" spans="2:2" x14ac:dyDescent="0.3">
      <c r="B87"/>
    </row>
    <row r="88" spans="2:2" x14ac:dyDescent="0.3">
      <c r="B88"/>
    </row>
    <row r="89" spans="2:2" x14ac:dyDescent="0.3">
      <c r="B89"/>
    </row>
    <row r="90" spans="2:2" x14ac:dyDescent="0.3">
      <c r="B90"/>
    </row>
    <row r="91" spans="2:2" x14ac:dyDescent="0.3">
      <c r="B91"/>
    </row>
    <row r="92" spans="2:2" x14ac:dyDescent="0.3">
      <c r="B92"/>
    </row>
    <row r="93" spans="2:2" x14ac:dyDescent="0.3">
      <c r="B93"/>
    </row>
    <row r="94" spans="2:2" x14ac:dyDescent="0.3">
      <c r="B94"/>
    </row>
    <row r="95" spans="2:2" x14ac:dyDescent="0.3">
      <c r="B95"/>
    </row>
    <row r="96" spans="2:2" x14ac:dyDescent="0.3">
      <c r="B96"/>
    </row>
    <row r="97" spans="2:2" x14ac:dyDescent="0.3">
      <c r="B97"/>
    </row>
    <row r="98" spans="2:2" x14ac:dyDescent="0.3">
      <c r="B98"/>
    </row>
    <row r="99" spans="2:2" x14ac:dyDescent="0.3">
      <c r="B99"/>
    </row>
    <row r="100" spans="2:2" x14ac:dyDescent="0.3">
      <c r="B100"/>
    </row>
    <row r="101" spans="2:2" x14ac:dyDescent="0.3">
      <c r="B101"/>
    </row>
    <row r="102" spans="2:2" x14ac:dyDescent="0.3">
      <c r="B102"/>
    </row>
    <row r="103" spans="2:2" x14ac:dyDescent="0.3">
      <c r="B103"/>
    </row>
    <row r="104" spans="2:2" x14ac:dyDescent="0.3">
      <c r="B104"/>
    </row>
    <row r="105" spans="2:2" x14ac:dyDescent="0.3">
      <c r="B105"/>
    </row>
    <row r="106" spans="2:2" x14ac:dyDescent="0.3">
      <c r="B106"/>
    </row>
    <row r="107" spans="2:2" x14ac:dyDescent="0.3">
      <c r="B107"/>
    </row>
    <row r="108" spans="2:2" x14ac:dyDescent="0.3">
      <c r="B108"/>
    </row>
    <row r="109" spans="2:2" x14ac:dyDescent="0.3">
      <c r="B109"/>
    </row>
    <row r="110" spans="2:2" x14ac:dyDescent="0.3">
      <c r="B110"/>
    </row>
    <row r="111" spans="2:2" x14ac:dyDescent="0.3">
      <c r="B111"/>
    </row>
    <row r="112" spans="2:2" x14ac:dyDescent="0.3">
      <c r="B112"/>
    </row>
    <row r="113" spans="2:2" x14ac:dyDescent="0.3">
      <c r="B113"/>
    </row>
    <row r="114" spans="2:2" x14ac:dyDescent="0.3">
      <c r="B114"/>
    </row>
  </sheetData>
  <dataConsolidate/>
  <mergeCells count="18">
    <mergeCell ref="G6:G7"/>
    <mergeCell ref="B6:B8"/>
    <mergeCell ref="C6:C7"/>
    <mergeCell ref="D6:D7"/>
    <mergeCell ref="E6:E7"/>
    <mergeCell ref="F6:F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5ED0-38B1-47AC-BF08-A79F46A7CEC9}">
  <sheetPr codeName="Hoja1">
    <tabColor theme="8" tint="0.59999389629810485"/>
  </sheetPr>
  <dimension ref="A2:V73"/>
  <sheetViews>
    <sheetView showGridLines="0" topLeftCell="A40" zoomScale="70" zoomScaleNormal="70" workbookViewId="0">
      <selection activeCell="L40" sqref="L40"/>
    </sheetView>
  </sheetViews>
  <sheetFormatPr baseColWidth="10" defaultColWidth="11.3984375" defaultRowHeight="13" x14ac:dyDescent="0.3"/>
  <cols>
    <col min="1" max="1" width="11.3984375" style="17"/>
    <col min="2" max="2" width="24" style="17" customWidth="1"/>
    <col min="3" max="3" width="17.59765625" style="17" customWidth="1"/>
    <col min="4" max="4" width="12.8984375" style="17" bestFit="1" customWidth="1"/>
    <col min="5" max="5" width="20" style="17" customWidth="1"/>
    <col min="6" max="6" width="18.296875" style="17" customWidth="1"/>
    <col min="7" max="7" width="20.09765625" style="17" customWidth="1"/>
    <col min="8" max="8" width="12.8984375" style="17" customWidth="1"/>
    <col min="9" max="9" width="15.59765625" style="17" customWidth="1"/>
    <col min="10" max="10" width="23.09765625" style="17" customWidth="1"/>
    <col min="11" max="11" width="20.09765625" style="17" customWidth="1"/>
    <col min="12" max="12" width="8" style="17" customWidth="1"/>
    <col min="13" max="13" width="15.09765625" style="17" customWidth="1"/>
    <col min="14" max="14" width="15.3984375" style="17" customWidth="1"/>
    <col min="15" max="15" width="16.59765625" style="17" customWidth="1"/>
    <col min="16" max="16" width="14.8984375" style="17" customWidth="1"/>
    <col min="17" max="17" width="20.296875" style="17" customWidth="1"/>
    <col min="18" max="18" width="15.09765625" style="17" customWidth="1"/>
    <col min="19" max="19" width="10.8984375" style="17" bestFit="1" customWidth="1"/>
    <col min="20" max="20" width="15.3984375" style="17" customWidth="1"/>
    <col min="21" max="21" width="12.8984375" style="17" customWidth="1"/>
    <col min="22" max="22" width="13.09765625" style="17" customWidth="1"/>
    <col min="23" max="16384" width="11.3984375" style="17"/>
  </cols>
  <sheetData>
    <row r="2" spans="1:19" x14ac:dyDescent="0.3">
      <c r="B2" s="22" t="s">
        <v>77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9" x14ac:dyDescent="0.3">
      <c r="B3" s="18">
        <f>FechaFacturacion</f>
        <v>45778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6" spans="1:19" ht="12.75" customHeight="1" x14ac:dyDescent="0.3">
      <c r="B6" s="108" t="s">
        <v>6</v>
      </c>
      <c r="C6" s="105" t="s">
        <v>78</v>
      </c>
      <c r="D6" s="50"/>
      <c r="E6" s="105" t="s">
        <v>6</v>
      </c>
      <c r="F6" s="105" t="s">
        <v>79</v>
      </c>
      <c r="G6" s="105" t="s">
        <v>80</v>
      </c>
      <c r="H6" s="50"/>
      <c r="I6" s="105" t="s">
        <v>81</v>
      </c>
      <c r="J6" s="110" cm="1">
        <f t="array" ref="J6">SUMPRODUCT(($G$8:$G$32&gt;0)*($G$8:$G$32))</f>
        <v>162794002.94763479</v>
      </c>
      <c r="Q6" s="51"/>
      <c r="R6"/>
    </row>
    <row r="7" spans="1:19" ht="26.25" customHeight="1" x14ac:dyDescent="0.3">
      <c r="B7" s="108"/>
      <c r="C7" s="106"/>
      <c r="D7" s="50"/>
      <c r="E7" s="106"/>
      <c r="F7" s="106"/>
      <c r="G7" s="106"/>
      <c r="H7"/>
      <c r="I7" s="106"/>
      <c r="J7" s="111"/>
      <c r="P7"/>
      <c r="Q7"/>
      <c r="R7"/>
      <c r="S7"/>
    </row>
    <row r="8" spans="1:19" x14ac:dyDescent="0.3">
      <c r="B8" s="30" t="s">
        <v>14</v>
      </c>
      <c r="C8" s="31">
        <f>'Reliquidación AR'!$P9+'Reliquidación AR'!L9</f>
        <v>23183951.075817801</v>
      </c>
      <c r="D8" s="52"/>
      <c r="E8" s="30" t="s">
        <v>14</v>
      </c>
      <c r="F8" s="33">
        <v>0</v>
      </c>
      <c r="G8" s="33">
        <f>VLOOKUP(E8,$B$8:$C$42,2,0)+F8</f>
        <v>23183951.075817801</v>
      </c>
      <c r="H8" s="53"/>
      <c r="I8"/>
      <c r="P8"/>
      <c r="Q8"/>
      <c r="R8"/>
      <c r="S8"/>
    </row>
    <row r="9" spans="1:19" x14ac:dyDescent="0.3">
      <c r="B9" s="32" t="s">
        <v>15</v>
      </c>
      <c r="C9" s="33">
        <f>'Reliquidación AR'!$P10+'Reliquidación AR'!L10</f>
        <v>25955293.696917199</v>
      </c>
      <c r="D9" s="52"/>
      <c r="E9" s="32" t="s">
        <v>15</v>
      </c>
      <c r="F9" s="33">
        <v>0</v>
      </c>
      <c r="G9" s="33">
        <f>VLOOKUP(E9,$B$8:$C$42,2,0)+F9</f>
        <v>25955293.696917199</v>
      </c>
      <c r="H9" s="53"/>
      <c r="I9"/>
      <c r="P9"/>
      <c r="Q9"/>
      <c r="R9"/>
      <c r="S9"/>
    </row>
    <row r="10" spans="1:19" x14ac:dyDescent="0.3">
      <c r="B10" s="32" t="s">
        <v>16</v>
      </c>
      <c r="C10" s="33">
        <f>'Reliquidación AR'!$P11+'Reliquidación AR'!L11</f>
        <v>-721932.9627865135</v>
      </c>
      <c r="D10" s="52"/>
      <c r="E10" s="32" t="s">
        <v>16</v>
      </c>
      <c r="F10" s="33">
        <v>0</v>
      </c>
      <c r="G10" s="33">
        <f>VLOOKUP(E10,$B$8:$C$42,2,0)+F10</f>
        <v>-721932.9627865135</v>
      </c>
      <c r="H10" s="53"/>
      <c r="I10"/>
      <c r="P10"/>
      <c r="Q10"/>
      <c r="R10"/>
      <c r="S10"/>
    </row>
    <row r="11" spans="1:19" x14ac:dyDescent="0.3">
      <c r="B11" s="32" t="s">
        <v>17</v>
      </c>
      <c r="C11" s="33">
        <f>'Reliquidación AR'!$P12+'Reliquidación AR'!L12</f>
        <v>943120.68813442532</v>
      </c>
      <c r="D11" s="52"/>
      <c r="E11" s="32" t="s">
        <v>17</v>
      </c>
      <c r="F11" s="33">
        <v>0</v>
      </c>
      <c r="G11" s="33">
        <f>VLOOKUP(E11,$B$8:$C$42,2,0)+F11</f>
        <v>943120.68813442532</v>
      </c>
      <c r="H11" s="53"/>
      <c r="I11"/>
      <c r="O11"/>
      <c r="P11"/>
      <c r="Q11"/>
      <c r="R11"/>
      <c r="S11"/>
    </row>
    <row r="12" spans="1:19" x14ac:dyDescent="0.3">
      <c r="B12" s="32" t="s">
        <v>18</v>
      </c>
      <c r="C12" s="33">
        <f>'Reliquidación AR'!$P13+'Reliquidación AR'!L13</f>
        <v>-27320195.337671798</v>
      </c>
      <c r="D12" s="52"/>
      <c r="E12" s="32" t="s">
        <v>82</v>
      </c>
      <c r="F12" s="33">
        <v>0</v>
      </c>
      <c r="G12" s="33">
        <f>C12+C13+C14+C15+C16+C18+C19+C20+C37+C38+C39+F12</f>
        <v>-45250546.387751125</v>
      </c>
      <c r="H12" s="53"/>
      <c r="I12"/>
      <c r="O12"/>
      <c r="P12"/>
      <c r="Q12"/>
      <c r="R12"/>
      <c r="S12"/>
    </row>
    <row r="13" spans="1:19" x14ac:dyDescent="0.3">
      <c r="B13" s="32" t="s">
        <v>20</v>
      </c>
      <c r="C13" s="33">
        <f>'Reliquidación AR'!$P14+'Reliquidación AR'!L14</f>
        <v>-114218.10979466501</v>
      </c>
      <c r="D13" s="52"/>
      <c r="E13" s="32" t="s">
        <v>83</v>
      </c>
      <c r="F13" s="33">
        <v>0</v>
      </c>
      <c r="G13" s="33">
        <f>C17+F13</f>
        <v>-68894373.058567002</v>
      </c>
      <c r="H13" s="53"/>
      <c r="I13"/>
      <c r="O13"/>
      <c r="P13"/>
      <c r="Q13"/>
      <c r="R13"/>
      <c r="S13"/>
    </row>
    <row r="14" spans="1:19" x14ac:dyDescent="0.3">
      <c r="B14" s="32" t="s">
        <v>21</v>
      </c>
      <c r="C14" s="33">
        <f>'Reliquidación AR'!$P15+'Reliquidación AR'!L15</f>
        <v>-1621126.2428163611</v>
      </c>
      <c r="D14" s="52"/>
      <c r="E14" s="32" t="s">
        <v>29</v>
      </c>
      <c r="F14" s="33">
        <v>0</v>
      </c>
      <c r="G14" s="33">
        <f t="shared" ref="G14:G32" si="0">VLOOKUP(E14,$B$8:$C$42,2,0)+F14</f>
        <v>74625749.050760567</v>
      </c>
      <c r="H14" s="53"/>
      <c r="I14"/>
      <c r="O14"/>
      <c r="P14"/>
      <c r="Q14"/>
      <c r="R14"/>
      <c r="S14"/>
    </row>
    <row r="15" spans="1:19" x14ac:dyDescent="0.3">
      <c r="B15" s="32" t="s">
        <v>22</v>
      </c>
      <c r="C15" s="33">
        <f>'Reliquidación AR'!$P16+'Reliquidación AR'!L16</f>
        <v>0</v>
      </c>
      <c r="D15" s="52"/>
      <c r="E15" s="32" t="s">
        <v>30</v>
      </c>
      <c r="F15" s="33">
        <v>0</v>
      </c>
      <c r="G15" s="33">
        <f t="shared" si="0"/>
        <v>-1918127.2903084557</v>
      </c>
      <c r="H15" s="53"/>
      <c r="I15"/>
      <c r="O15"/>
      <c r="P15"/>
      <c r="Q15"/>
      <c r="R15"/>
      <c r="S15"/>
    </row>
    <row r="16" spans="1:19" x14ac:dyDescent="0.3">
      <c r="A16"/>
      <c r="B16" s="32" t="s">
        <v>23</v>
      </c>
      <c r="C16" s="33">
        <f>'Reliquidación AR'!$P17+'Reliquidación AR'!L17</f>
        <v>0</v>
      </c>
      <c r="D16" s="52"/>
      <c r="E16" s="32" t="s">
        <v>31</v>
      </c>
      <c r="F16" s="33">
        <v>0</v>
      </c>
      <c r="G16" s="33">
        <f t="shared" si="0"/>
        <v>-1117310.6936028027</v>
      </c>
      <c r="H16" s="53"/>
      <c r="I16"/>
      <c r="O16"/>
      <c r="P16"/>
      <c r="Q16"/>
      <c r="R16"/>
      <c r="S16"/>
    </row>
    <row r="17" spans="1:19" x14ac:dyDescent="0.3">
      <c r="B17" s="32" t="s">
        <v>24</v>
      </c>
      <c r="C17" s="33">
        <f>'Reliquidación AR'!$P18+'Reliquidación AR'!L18</f>
        <v>-68894373.058567002</v>
      </c>
      <c r="D17" s="52"/>
      <c r="E17" s="32" t="s">
        <v>32</v>
      </c>
      <c r="F17" s="33">
        <v>0</v>
      </c>
      <c r="G17" s="33">
        <f t="shared" si="0"/>
        <v>20411884.51973968</v>
      </c>
      <c r="H17" s="53"/>
      <c r="I17"/>
      <c r="O17"/>
      <c r="P17"/>
      <c r="Q17"/>
      <c r="R17"/>
      <c r="S17"/>
    </row>
    <row r="18" spans="1:19" x14ac:dyDescent="0.3">
      <c r="B18" s="32" t="s">
        <v>26</v>
      </c>
      <c r="C18" s="33">
        <f>'Reliquidación AR'!$P19+'Reliquidación AR'!L19</f>
        <v>-4499393.8136075046</v>
      </c>
      <c r="D18" s="52"/>
      <c r="E18" s="32" t="s">
        <v>33</v>
      </c>
      <c r="F18" s="33">
        <v>0</v>
      </c>
      <c r="G18" s="33">
        <f t="shared" si="0"/>
        <v>17674003.916265089</v>
      </c>
      <c r="H18" s="53"/>
      <c r="I18"/>
      <c r="O18"/>
      <c r="P18"/>
      <c r="Q18"/>
      <c r="R18"/>
      <c r="S18"/>
    </row>
    <row r="19" spans="1:19" x14ac:dyDescent="0.3">
      <c r="B19" s="32" t="s">
        <v>27</v>
      </c>
      <c r="C19" s="33">
        <f>'Reliquidación AR'!$P20+'Reliquidación AR'!L20</f>
        <v>-782368.76846421929</v>
      </c>
      <c r="D19" s="52"/>
      <c r="E19" s="32" t="s">
        <v>34</v>
      </c>
      <c r="F19" s="33">
        <v>0</v>
      </c>
      <c r="G19" s="33">
        <f t="shared" si="0"/>
        <v>-874680.94671533268</v>
      </c>
      <c r="H19" s="53"/>
      <c r="I19"/>
      <c r="O19"/>
      <c r="P19"/>
      <c r="Q19"/>
      <c r="R19"/>
      <c r="S19"/>
    </row>
    <row r="20" spans="1:19" x14ac:dyDescent="0.3">
      <c r="B20" s="32" t="s">
        <v>28</v>
      </c>
      <c r="C20" s="33">
        <f>'Reliquidación AR'!$P21+'Reliquidación AR'!L21</f>
        <v>0</v>
      </c>
      <c r="D20" s="52"/>
      <c r="E20" s="32" t="s">
        <v>35</v>
      </c>
      <c r="F20" s="33">
        <v>0</v>
      </c>
      <c r="G20" s="33">
        <f t="shared" si="0"/>
        <v>-7762090.1319828499</v>
      </c>
      <c r="H20" s="53"/>
      <c r="I20"/>
      <c r="O20"/>
      <c r="P20"/>
      <c r="Q20"/>
      <c r="R20"/>
      <c r="S20"/>
    </row>
    <row r="21" spans="1:19" x14ac:dyDescent="0.3">
      <c r="B21" s="32" t="s">
        <v>29</v>
      </c>
      <c r="C21" s="33">
        <f>'Reliquidación AR'!$P22+'Reliquidación AR'!L22</f>
        <v>74625749.050760567</v>
      </c>
      <c r="D21" s="52"/>
      <c r="E21" s="32" t="s">
        <v>36</v>
      </c>
      <c r="F21" s="33">
        <v>0</v>
      </c>
      <c r="G21" s="33">
        <f t="shared" si="0"/>
        <v>-1608163.3028768026</v>
      </c>
      <c r="H21" s="53"/>
      <c r="I21"/>
      <c r="O21"/>
      <c r="P21"/>
      <c r="Q21"/>
      <c r="R21"/>
      <c r="S21"/>
    </row>
    <row r="22" spans="1:19" x14ac:dyDescent="0.3">
      <c r="B22" s="32" t="s">
        <v>30</v>
      </c>
      <c r="C22" s="33">
        <f>'Reliquidación AR'!$P23+'Reliquidación AR'!L23</f>
        <v>-1918127.2903084557</v>
      </c>
      <c r="D22" s="52"/>
      <c r="E22" s="32" t="s">
        <v>37</v>
      </c>
      <c r="F22" s="33">
        <v>0</v>
      </c>
      <c r="G22" s="33">
        <f t="shared" si="0"/>
        <v>-12328376.285010749</v>
      </c>
      <c r="H22" s="53"/>
      <c r="I22"/>
      <c r="O22"/>
      <c r="P22"/>
      <c r="Q22"/>
      <c r="R22"/>
      <c r="S22"/>
    </row>
    <row r="23" spans="1:19" x14ac:dyDescent="0.3">
      <c r="B23" s="32" t="s">
        <v>31</v>
      </c>
      <c r="C23" s="33">
        <f>'Reliquidación AR'!$P24+'Reliquidación AR'!L24</f>
        <v>-1117310.6936028027</v>
      </c>
      <c r="D23" s="52"/>
      <c r="E23" s="32" t="s">
        <v>38</v>
      </c>
      <c r="F23" s="33">
        <v>0</v>
      </c>
      <c r="G23" s="33">
        <f t="shared" si="0"/>
        <v>-585417.96352871764</v>
      </c>
      <c r="H23" s="53"/>
      <c r="I23"/>
      <c r="O23"/>
      <c r="P23"/>
      <c r="Q23"/>
      <c r="R23"/>
      <c r="S23"/>
    </row>
    <row r="24" spans="1:19" x14ac:dyDescent="0.3">
      <c r="B24" s="32" t="s">
        <v>32</v>
      </c>
      <c r="C24" s="33">
        <f>'Reliquidación AR'!$P25+'Reliquidación AR'!L25</f>
        <v>20411884.51973968</v>
      </c>
      <c r="D24" s="52"/>
      <c r="E24" s="32" t="s">
        <v>39</v>
      </c>
      <c r="F24" s="33">
        <v>0</v>
      </c>
      <c r="G24" s="33">
        <f t="shared" si="0"/>
        <v>-18480284.38797152</v>
      </c>
      <c r="H24" s="53"/>
      <c r="I24"/>
      <c r="O24"/>
      <c r="P24"/>
      <c r="Q24"/>
      <c r="R24"/>
      <c r="S24"/>
    </row>
    <row r="25" spans="1:19" x14ac:dyDescent="0.3">
      <c r="B25" s="32" t="s">
        <v>33</v>
      </c>
      <c r="C25" s="33">
        <f>'Reliquidación AR'!$P26+'Reliquidación AR'!L26</f>
        <v>17674003.916265089</v>
      </c>
      <c r="D25" s="52"/>
      <c r="E25" s="32" t="s">
        <v>40</v>
      </c>
      <c r="F25" s="33">
        <v>0</v>
      </c>
      <c r="G25" s="33">
        <f t="shared" si="0"/>
        <v>-359102.56107056822</v>
      </c>
      <c r="H25" s="53"/>
      <c r="I25"/>
      <c r="O25"/>
      <c r="P25"/>
      <c r="Q25"/>
      <c r="R25"/>
      <c r="S25"/>
    </row>
    <row r="26" spans="1:19" x14ac:dyDescent="0.3">
      <c r="B26" s="32" t="s">
        <v>34</v>
      </c>
      <c r="C26" s="33">
        <f>'Reliquidación AR'!$P27+'Reliquidación AR'!L27</f>
        <v>-874680.94671533268</v>
      </c>
      <c r="D26" s="52"/>
      <c r="E26" s="32" t="s">
        <v>41</v>
      </c>
      <c r="F26" s="33">
        <v>0</v>
      </c>
      <c r="G26" s="33">
        <f t="shared" si="0"/>
        <v>-929514.27518900519</v>
      </c>
      <c r="H26" s="53"/>
      <c r="I26"/>
      <c r="O26"/>
      <c r="P26"/>
      <c r="Q26"/>
      <c r="R26"/>
      <c r="S26"/>
    </row>
    <row r="27" spans="1:19" x14ac:dyDescent="0.3">
      <c r="B27" s="32" t="s">
        <v>35</v>
      </c>
      <c r="C27" s="33">
        <f>'Reliquidación AR'!$P28+'Reliquidación AR'!L28</f>
        <v>-7762090.1319828499</v>
      </c>
      <c r="D27" s="52"/>
      <c r="E27" s="32" t="s">
        <v>42</v>
      </c>
      <c r="F27" s="33">
        <v>0</v>
      </c>
      <c r="G27" s="33">
        <f t="shared" si="0"/>
        <v>-1116300.147710802</v>
      </c>
      <c r="H27" s="53"/>
      <c r="I27"/>
      <c r="O27"/>
      <c r="P27"/>
      <c r="Q27"/>
      <c r="R27"/>
      <c r="S27"/>
    </row>
    <row r="28" spans="1:19" x14ac:dyDescent="0.3">
      <c r="B28" s="32" t="s">
        <v>36</v>
      </c>
      <c r="C28" s="33">
        <f>'Reliquidación AR'!$P29+'Reliquidación AR'!L29</f>
        <v>-1608163.3028768026</v>
      </c>
      <c r="D28" s="52"/>
      <c r="E28" s="32" t="s">
        <v>43</v>
      </c>
      <c r="F28" s="33">
        <v>0</v>
      </c>
      <c r="G28" s="33">
        <f t="shared" si="0"/>
        <v>-710778.22581743344</v>
      </c>
      <c r="H28" s="53"/>
      <c r="I28"/>
      <c r="O28"/>
      <c r="P28"/>
      <c r="Q28"/>
      <c r="R28"/>
      <c r="S28"/>
    </row>
    <row r="29" spans="1:19" x14ac:dyDescent="0.3">
      <c r="A29"/>
      <c r="B29" s="32" t="s">
        <v>37</v>
      </c>
      <c r="C29" s="33">
        <f>'Reliquidación AR'!$P30+'Reliquidación AR'!L30</f>
        <v>-12328376.285010749</v>
      </c>
      <c r="D29" s="52"/>
      <c r="E29" s="32" t="s">
        <v>45</v>
      </c>
      <c r="F29" s="33">
        <v>0</v>
      </c>
      <c r="G29" s="33">
        <f t="shared" si="0"/>
        <v>-129401.29346450907</v>
      </c>
      <c r="H29" s="53"/>
      <c r="I29"/>
      <c r="O29"/>
      <c r="P29"/>
      <c r="Q29"/>
      <c r="R29"/>
      <c r="S29"/>
    </row>
    <row r="30" spans="1:19" x14ac:dyDescent="0.3">
      <c r="B30" s="32" t="s">
        <v>38</v>
      </c>
      <c r="C30" s="33">
        <f>'Reliquidación AR'!$P31+'Reliquidación AR'!L31</f>
        <v>-585417.96352871764</v>
      </c>
      <c r="D30" s="52"/>
      <c r="E30" s="32" t="s">
        <v>49</v>
      </c>
      <c r="F30" s="33">
        <v>0</v>
      </c>
      <c r="G30" s="33">
        <f t="shared" si="0"/>
        <v>0</v>
      </c>
      <c r="H30" s="53"/>
      <c r="I30"/>
      <c r="O30"/>
      <c r="P30"/>
      <c r="Q30"/>
      <c r="R30"/>
      <c r="S30"/>
    </row>
    <row r="31" spans="1:19" x14ac:dyDescent="0.3">
      <c r="A31"/>
      <c r="B31" s="32" t="s">
        <v>39</v>
      </c>
      <c r="C31" s="33">
        <f>'Reliquidación AR'!$P32+'Reliquidación AR'!L32</f>
        <v>-18480284.38797152</v>
      </c>
      <c r="D31" s="52"/>
      <c r="E31" s="32" t="s">
        <v>50</v>
      </c>
      <c r="F31" s="33">
        <v>0</v>
      </c>
      <c r="G31" s="33">
        <f t="shared" si="0"/>
        <v>-1040.9494057700847</v>
      </c>
      <c r="H31" s="53"/>
      <c r="I31"/>
      <c r="O31"/>
      <c r="P31"/>
      <c r="Q31"/>
      <c r="R31"/>
      <c r="S31"/>
    </row>
    <row r="32" spans="1:19" x14ac:dyDescent="0.3">
      <c r="A32"/>
      <c r="B32" s="32" t="s">
        <v>40</v>
      </c>
      <c r="C32" s="33">
        <f>'Reliquidación AR'!$P33+'Reliquidación AR'!L33</f>
        <v>-359102.56107056822</v>
      </c>
      <c r="D32" s="52"/>
      <c r="E32" s="34" t="s">
        <v>51</v>
      </c>
      <c r="F32" s="33">
        <v>0</v>
      </c>
      <c r="G32" s="33">
        <f t="shared" si="0"/>
        <v>-6562.0838748147726</v>
      </c>
      <c r="H32" s="53"/>
      <c r="I32"/>
      <c r="O32"/>
      <c r="P32"/>
      <c r="Q32"/>
      <c r="R32"/>
      <c r="S32"/>
    </row>
    <row r="33" spans="1:22" x14ac:dyDescent="0.3">
      <c r="A33"/>
      <c r="B33" s="32" t="s">
        <v>41</v>
      </c>
      <c r="C33" s="33">
        <f>'Reliquidación AR'!$P34+'Reliquidación AR'!L34</f>
        <v>-929514.27518900519</v>
      </c>
      <c r="D33" s="52"/>
      <c r="E33" s="36" t="s">
        <v>66</v>
      </c>
      <c r="F33" s="13">
        <f>SUM(F7:F32)</f>
        <v>0</v>
      </c>
      <c r="G33" s="13">
        <f>SUM(G7:G32)</f>
        <v>-5.6006683735176921E-9</v>
      </c>
      <c r="H33"/>
      <c r="I33"/>
      <c r="O33"/>
      <c r="P33"/>
      <c r="Q33"/>
      <c r="R33"/>
      <c r="S33"/>
    </row>
    <row r="34" spans="1:22" x14ac:dyDescent="0.3">
      <c r="B34" s="32" t="s">
        <v>42</v>
      </c>
      <c r="C34" s="33">
        <f>'Reliquidación AR'!$P35+'Reliquidación AR'!L35</f>
        <v>-1116300.147710802</v>
      </c>
      <c r="D34" s="52"/>
      <c r="E34" s="54"/>
      <c r="F34" s="54"/>
      <c r="G34" s="14"/>
      <c r="H34"/>
      <c r="I34"/>
      <c r="O34"/>
      <c r="P34"/>
      <c r="Q34"/>
      <c r="R34"/>
      <c r="S34"/>
    </row>
    <row r="35" spans="1:22" x14ac:dyDescent="0.3">
      <c r="A35"/>
      <c r="B35" s="32" t="s">
        <v>43</v>
      </c>
      <c r="C35" s="33">
        <f>'Reliquidación AR'!$P36+'Reliquidación AR'!L36</f>
        <v>-710778.22581743344</v>
      </c>
      <c r="D35" s="52"/>
      <c r="E35" s="54"/>
      <c r="F35" s="55"/>
      <c r="G35" s="14"/>
      <c r="H35"/>
      <c r="I35"/>
      <c r="O35"/>
      <c r="P35"/>
      <c r="Q35"/>
      <c r="R35"/>
      <c r="S35"/>
    </row>
    <row r="36" spans="1:22" x14ac:dyDescent="0.3">
      <c r="A36"/>
      <c r="B36" s="32" t="s">
        <v>45</v>
      </c>
      <c r="C36" s="33">
        <f>'Reliquidación AR'!$P37+'Reliquidación AR'!L37</f>
        <v>-129401.29346450907</v>
      </c>
      <c r="D36" s="52"/>
      <c r="E36" s="52"/>
      <c r="F36" s="52"/>
      <c r="G36" s="52"/>
      <c r="H36" s="52"/>
      <c r="I36" s="54"/>
      <c r="J36" s="54"/>
      <c r="K36" s="14"/>
      <c r="L36" s="14"/>
      <c r="M36" s="14"/>
      <c r="N36" s="44"/>
      <c r="O36"/>
      <c r="P36"/>
      <c r="Q36"/>
      <c r="R36"/>
      <c r="S36"/>
    </row>
    <row r="37" spans="1:22" x14ac:dyDescent="0.3">
      <c r="B37" s="32" t="s">
        <v>46</v>
      </c>
      <c r="C37" s="33">
        <f>'Reliquidación AR'!$P38+'Reliquidación AR'!L38</f>
        <v>-1908692.2421330176</v>
      </c>
      <c r="D37" s="52"/>
      <c r="E37" s="52"/>
      <c r="F37" s="52"/>
      <c r="G37" s="52"/>
      <c r="H37" s="52"/>
      <c r="I37" s="54"/>
      <c r="J37" s="54"/>
      <c r="K37" s="14"/>
      <c r="L37" s="14"/>
      <c r="M37" s="14"/>
      <c r="N37" s="44"/>
      <c r="O37"/>
      <c r="P37"/>
      <c r="Q37"/>
      <c r="R37"/>
      <c r="S37"/>
    </row>
    <row r="38" spans="1:22" x14ac:dyDescent="0.3">
      <c r="B38" s="32" t="s">
        <v>47</v>
      </c>
      <c r="C38" s="33">
        <f>'Reliquidación AR'!$P39+'Reliquidación AR'!L39</f>
        <v>-2953352.3941429546</v>
      </c>
      <c r="D38" s="52"/>
      <c r="E38" s="52"/>
      <c r="F38" s="52"/>
      <c r="G38" s="52"/>
      <c r="H38" s="52"/>
      <c r="I38" s="54"/>
      <c r="J38" s="54"/>
      <c r="K38" s="14"/>
      <c r="L38" s="14"/>
      <c r="M38" s="14"/>
      <c r="N38" s="44"/>
      <c r="O38"/>
      <c r="P38"/>
      <c r="Q38"/>
      <c r="R38"/>
      <c r="S38"/>
    </row>
    <row r="39" spans="1:22" x14ac:dyDescent="0.3">
      <c r="B39" s="32" t="s">
        <v>48</v>
      </c>
      <c r="C39" s="33">
        <f>'Reliquidación AR'!$P40+'Reliquidación AR'!L40</f>
        <v>-6051199.4791206056</v>
      </c>
      <c r="D39" s="52"/>
      <c r="E39" s="52"/>
      <c r="F39" s="52"/>
      <c r="G39" s="52"/>
      <c r="H39" s="52"/>
      <c r="I39" s="54"/>
      <c r="J39" s="54"/>
      <c r="K39" s="14"/>
      <c r="L39" s="14"/>
      <c r="M39" s="14"/>
      <c r="N39" s="44"/>
      <c r="O39"/>
      <c r="P39"/>
      <c r="Q39"/>
      <c r="R39"/>
      <c r="S39"/>
    </row>
    <row r="40" spans="1:22" x14ac:dyDescent="0.3">
      <c r="B40" s="32" t="s">
        <v>49</v>
      </c>
      <c r="C40" s="33">
        <f>'Reliquidación AR'!$P41+'Reliquidación AR'!L41</f>
        <v>0</v>
      </c>
      <c r="D40" s="52"/>
      <c r="E40" s="52"/>
      <c r="F40" s="52"/>
      <c r="G40" s="52"/>
      <c r="H40" s="52"/>
      <c r="I40" s="54"/>
      <c r="J40" s="54"/>
      <c r="K40" s="14"/>
      <c r="L40" s="14"/>
      <c r="M40" s="14"/>
      <c r="N40" s="44"/>
      <c r="O40"/>
      <c r="P40"/>
      <c r="Q40"/>
      <c r="R40"/>
      <c r="S40"/>
    </row>
    <row r="41" spans="1:22" x14ac:dyDescent="0.3">
      <c r="B41" s="32" t="s">
        <v>50</v>
      </c>
      <c r="C41" s="33">
        <f>'Reliquidación AR'!$P42+'Reliquidación AR'!L42</f>
        <v>-1040.9494057700847</v>
      </c>
      <c r="D41" s="52"/>
      <c r="E41" s="52"/>
      <c r="F41" s="52"/>
      <c r="G41" s="52"/>
      <c r="H41" s="52"/>
      <c r="I41" s="54"/>
      <c r="J41" s="54"/>
      <c r="K41" s="14"/>
      <c r="L41" s="14"/>
      <c r="M41" s="14"/>
      <c r="N41" s="44"/>
      <c r="O41"/>
      <c r="P41"/>
      <c r="Q41"/>
      <c r="R41"/>
      <c r="S41"/>
    </row>
    <row r="42" spans="1:22" x14ac:dyDescent="0.3">
      <c r="B42" s="34" t="s">
        <v>51</v>
      </c>
      <c r="C42" s="33">
        <f>'Reliquidación AR'!$P43+'Reliquidación AR'!L43</f>
        <v>-6562.0838748147726</v>
      </c>
      <c r="D42" s="52"/>
      <c r="E42" s="52"/>
      <c r="F42" s="52"/>
      <c r="G42" s="52"/>
      <c r="H42" s="52"/>
      <c r="I42" s="54"/>
      <c r="J42" s="54"/>
      <c r="K42" s="14"/>
      <c r="L42" s="14"/>
      <c r="M42" s="14"/>
      <c r="N42" s="44"/>
      <c r="O42"/>
      <c r="P42"/>
      <c r="Q42"/>
      <c r="R42"/>
      <c r="S42"/>
      <c r="T42" s="54"/>
      <c r="U42" s="56"/>
      <c r="V42" s="56"/>
    </row>
    <row r="43" spans="1:22" x14ac:dyDescent="0.3">
      <c r="B43" s="36" t="s">
        <v>66</v>
      </c>
      <c r="C43" s="13">
        <f>SUM(C8:C42)</f>
        <v>-2.4110704544000328E-8</v>
      </c>
      <c r="D43" s="57"/>
      <c r="E43" s="57"/>
      <c r="F43" s="57"/>
      <c r="G43" s="57"/>
      <c r="H43" s="57"/>
      <c r="I43" s="54"/>
      <c r="J43" s="54"/>
      <c r="K43" s="14"/>
      <c r="N43" s="44"/>
      <c r="O43"/>
      <c r="P43"/>
      <c r="Q43"/>
      <c r="R43"/>
      <c r="S43"/>
    </row>
    <row r="44" spans="1:22" x14ac:dyDescent="0.3">
      <c r="I44"/>
      <c r="J44"/>
      <c r="O44"/>
      <c r="P44"/>
    </row>
    <row r="45" spans="1:22" x14ac:dyDescent="0.3">
      <c r="B45" s="54"/>
      <c r="C45" s="56"/>
      <c r="D45" s="56"/>
      <c r="E45" s="56"/>
      <c r="F45" s="56"/>
      <c r="G45" s="56"/>
      <c r="H45" s="56"/>
      <c r="I45"/>
      <c r="J45"/>
      <c r="L45"/>
      <c r="M45"/>
      <c r="O45"/>
      <c r="P45"/>
    </row>
    <row r="46" spans="1:22" x14ac:dyDescent="0.3">
      <c r="B46"/>
      <c r="C46"/>
      <c r="D46"/>
      <c r="E46"/>
      <c r="F46"/>
      <c r="G46"/>
      <c r="H46"/>
      <c r="I46" s="14"/>
      <c r="J46" s="14"/>
      <c r="K46"/>
      <c r="L46"/>
      <c r="M46"/>
      <c r="N46"/>
      <c r="O46"/>
      <c r="P46"/>
      <c r="Q46"/>
      <c r="R46"/>
    </row>
    <row r="47" spans="1:22" x14ac:dyDescent="0.3">
      <c r="B47" s="16" t="s">
        <v>84</v>
      </c>
      <c r="C47"/>
      <c r="D47"/>
      <c r="E47"/>
      <c r="F47"/>
      <c r="G47"/>
      <c r="H47"/>
      <c r="I47" s="14"/>
      <c r="J47" s="14"/>
      <c r="K47"/>
      <c r="L47"/>
      <c r="M47"/>
      <c r="N47"/>
      <c r="O47"/>
      <c r="P47"/>
      <c r="Q47"/>
      <c r="R47"/>
    </row>
    <row r="48" spans="1:22" ht="14.5" x14ac:dyDescent="0.35">
      <c r="B48"/>
      <c r="C48" s="58"/>
      <c r="D48" s="58"/>
      <c r="E48" s="58"/>
      <c r="F48" s="58"/>
      <c r="G48" s="58"/>
      <c r="H48" s="58"/>
      <c r="I48"/>
      <c r="J48"/>
      <c r="K48"/>
      <c r="N48" s="58"/>
      <c r="O48" s="58"/>
      <c r="P48" s="58"/>
      <c r="Q48" s="58"/>
      <c r="R48" s="58"/>
    </row>
    <row r="49" spans="2:13" x14ac:dyDescent="0.3">
      <c r="B49" s="112" t="s">
        <v>85</v>
      </c>
      <c r="C49" s="114" t="s">
        <v>86</v>
      </c>
      <c r="D49" s="115"/>
      <c r="E49" s="115"/>
      <c r="F49" s="115"/>
      <c r="G49" s="115"/>
      <c r="H49" s="115"/>
      <c r="I49" s="116"/>
      <c r="J49" s="59" t="s">
        <v>52</v>
      </c>
      <c r="L49" s="60"/>
      <c r="M49" s="60"/>
    </row>
    <row r="50" spans="2:13" x14ac:dyDescent="0.3">
      <c r="B50" s="113"/>
      <c r="C50" s="39" t="s">
        <v>14</v>
      </c>
      <c r="D50" s="39" t="s">
        <v>15</v>
      </c>
      <c r="E50" s="61" t="s">
        <v>17</v>
      </c>
      <c r="F50" s="61" t="s">
        <v>29</v>
      </c>
      <c r="G50" s="61" t="s">
        <v>32</v>
      </c>
      <c r="H50" s="61" t="s">
        <v>33</v>
      </c>
      <c r="I50" s="61" t="s">
        <v>49</v>
      </c>
      <c r="J50" s="59"/>
      <c r="L50" s="19"/>
    </row>
    <row r="51" spans="2:13" x14ac:dyDescent="0.3">
      <c r="B51" s="61" t="s">
        <v>16</v>
      </c>
      <c r="C51" s="62" cm="1">
        <f t="array" ref="C51">(VLOOKUP($B51,$E$8:$G$33,3,0)*(-(VLOOKUP(C$50,$E$8:$G$33,3,0))))/SUMPRODUCT(($G$8:$G$33&gt;0)*($G$8:$G$33))</f>
        <v>102812.50037599064</v>
      </c>
      <c r="D51" s="62" cm="1">
        <f t="array" ref="D51">(VLOOKUP($B51,$E$8:$G$33,3,0)*(-(VLOOKUP(D$50,$E$8:$G$33,3,0))))/SUMPRODUCT(($G$8:$G$33&gt;0)*($G$8:$G$33))</f>
        <v>115102.41003556448</v>
      </c>
      <c r="E51" s="62" cm="1">
        <f t="array" ref="E51">(VLOOKUP($B51,$E$8:$G$33,3,0)*(-(VLOOKUP(E$50,$E$8:$G$33,3,0))))/SUMPRODUCT(($G$8:$G$33&gt;0)*($G$8:$G$33))</f>
        <v>4182.40168754345</v>
      </c>
      <c r="F51" s="62" cm="1">
        <f t="array" ref="F51">(VLOOKUP($B51,$E$8:$G$33,3,0)*(-(VLOOKUP(F$50,$E$8:$G$33,3,0))))/SUMPRODUCT(($G$8:$G$33&gt;0)*($G$8:$G$33))</f>
        <v>330938.40766178642</v>
      </c>
      <c r="G51" s="62" cm="1">
        <f t="array" ref="G51">(VLOOKUP($B51,$E$8:$G$33,3,0)*(-(VLOOKUP(G$50,$E$8:$G$33,3,0))))/SUMPRODUCT(($G$8:$G$33&gt;0)*($G$8:$G$33))</f>
        <v>90519.380324666534</v>
      </c>
      <c r="H51" s="62" cm="1">
        <f t="array" ref="H51">(VLOOKUP($B51,$E$8:$G$33,3,0)*(-(VLOOKUP(H$50,$E$8:$G$33,3,0))))/SUMPRODUCT(($G$8:$G$33&gt;0)*($G$8:$G$33))</f>
        <v>78377.86270096185</v>
      </c>
      <c r="I51" s="62" cm="1">
        <f t="array" ref="I51">(VLOOKUP($B51,$E$8:$G$33,3,0)*(-(VLOOKUP(I$50,$E$8:$G$33,3,0))))/SUMPRODUCT(($G$8:$G$33&gt;0)*($G$8:$G$33))</f>
        <v>0</v>
      </c>
      <c r="J51" s="63">
        <f>SUM(C51:I51)</f>
        <v>721932.96278651338</v>
      </c>
      <c r="K51" s="19"/>
      <c r="L51" s="14"/>
    </row>
    <row r="52" spans="2:13" x14ac:dyDescent="0.3">
      <c r="B52" s="64" t="s">
        <v>82</v>
      </c>
      <c r="C52" s="62" cm="1">
        <f t="array" ref="C52">(VLOOKUP($B52,$E$8:$G$33,3,0)*(-(VLOOKUP(C$50,$E$8:$G$33,3,0))))/SUMPRODUCT(($G$8:$G$33&gt;0)*($G$8:$G$33))</f>
        <v>6444257.3719690451</v>
      </c>
      <c r="D52" s="62" cm="1">
        <f t="array" ref="D52">(VLOOKUP($B52,$E$8:$G$33,3,0)*(-(VLOOKUP(D$50,$E$8:$G$33,3,0))))/SUMPRODUCT(($G$8:$G$33&gt;0)*($G$8:$G$33))</f>
        <v>7214585.3051960971</v>
      </c>
      <c r="E52" s="62" cm="1">
        <f t="array" ref="E52">(VLOOKUP($B52,$E$8:$G$33,3,0)*(-(VLOOKUP(E$50,$E$8:$G$33,3,0))))/SUMPRODUCT(($G$8:$G$33&gt;0)*($G$8:$G$33))</f>
        <v>262151.71121139033</v>
      </c>
      <c r="F52" s="62" cm="1">
        <f t="array" ref="F52">(VLOOKUP($B52,$E$8:$G$33,3,0)*(-(VLOOKUP(F$50,$E$8:$G$33,3,0))))/SUMPRODUCT(($G$8:$G$33&gt;0)*($G$8:$G$33))</f>
        <v>20743122.338654783</v>
      </c>
      <c r="G52" s="62" cm="1">
        <f t="array" ref="G52">(VLOOKUP($B52,$E$8:$G$33,3,0)*(-(VLOOKUP(G$50,$E$8:$G$33,3,0))))/SUMPRODUCT(($G$8:$G$33&gt;0)*($G$8:$G$33))</f>
        <v>5673728.2123285923</v>
      </c>
      <c r="H52" s="62" cm="1">
        <f t="array" ref="H52">(VLOOKUP($B52,$E$8:$G$33,3,0)*(-(VLOOKUP(H$50,$E$8:$G$33,3,0))))/SUMPRODUCT(($G$8:$G$33&gt;0)*($G$8:$G$33))</f>
        <v>4912701.4483912112</v>
      </c>
      <c r="I52" s="62" cm="1">
        <f t="array" ref="I52">(VLOOKUP($B52,$E$8:$G$33,3,0)*(-(VLOOKUP(I$50,$E$8:$G$33,3,0))))/SUMPRODUCT(($G$8:$G$33&gt;0)*($G$8:$G$33))</f>
        <v>0</v>
      </c>
      <c r="J52" s="63">
        <f>SUM(C52:I52)</f>
        <v>45250546.387751125</v>
      </c>
      <c r="K52" s="14"/>
      <c r="L52" s="14"/>
    </row>
    <row r="53" spans="2:13" x14ac:dyDescent="0.3">
      <c r="B53" s="64" t="s">
        <v>83</v>
      </c>
      <c r="C53" s="62" cm="1">
        <f t="array" ref="C53">(VLOOKUP($B53,$E$8:$G$33,3,0)*(-(VLOOKUP(C$50,$E$8:$G$33,3,0))))/SUMPRODUCT(($G$8:$G$33&gt;0)*($G$8:$G$33))</f>
        <v>9811441.1186432689</v>
      </c>
      <c r="D53" s="62" cm="1">
        <f t="array" ref="D53">(VLOOKUP($B53,$E$8:$G$33,3,0)*(-(VLOOKUP(D$50,$E$8:$G$33,3,0))))/SUMPRODUCT(($G$8:$G$33&gt;0)*($G$8:$G$33))</f>
        <v>10984272.48192478</v>
      </c>
      <c r="E53" s="62" cm="1">
        <f t="array" ref="E53">(VLOOKUP($B53,$E$8:$G$33,3,0)*(-(VLOOKUP(E$50,$E$8:$G$33,3,0))))/SUMPRODUCT(($G$8:$G$33&gt;0)*($G$8:$G$33))</f>
        <v>399128.3914093934</v>
      </c>
      <c r="F53" s="62" cm="1">
        <f t="array" ref="F53">(VLOOKUP($B53,$E$8:$G$33,3,0)*(-(VLOOKUP(F$50,$E$8:$G$33,3,0))))/SUMPRODUCT(($G$8:$G$33&gt;0)*($G$8:$G$33))</f>
        <v>31581594.541488595</v>
      </c>
      <c r="G53" s="62" cm="1">
        <f t="array" ref="G53">(VLOOKUP($B53,$E$8:$G$33,3,0)*(-(VLOOKUP(G$50,$E$8:$G$33,3,0))))/SUMPRODUCT(($G$8:$G$33&gt;0)*($G$8:$G$33))</f>
        <v>8638303.3862966131</v>
      </c>
      <c r="H53" s="62" cm="1">
        <f t="array" ref="H53">(VLOOKUP($B53,$E$8:$G$33,3,0)*(-(VLOOKUP(H$50,$E$8:$G$33,3,0))))/SUMPRODUCT(($G$8:$G$33&gt;0)*($G$8:$G$33))</f>
        <v>7479633.1388043445</v>
      </c>
      <c r="I53" s="62" cm="1">
        <f t="array" ref="I53">(VLOOKUP($B53,$E$8:$G$33,3,0)*(-(VLOOKUP(I$50,$E$8:$G$33,3,0))))/SUMPRODUCT(($G$8:$G$33&gt;0)*($G$8:$G$33))</f>
        <v>0</v>
      </c>
      <c r="J53" s="63">
        <f>SUM(C53:I53)</f>
        <v>68894373.058567002</v>
      </c>
      <c r="K53" s="14"/>
      <c r="L53" s="14"/>
    </row>
    <row r="54" spans="2:13" x14ac:dyDescent="0.3">
      <c r="B54" s="64" t="s">
        <v>30</v>
      </c>
      <c r="C54" s="62" cm="1">
        <f t="array" ref="C54">(VLOOKUP($B54,$E$8:$G$33,3,0)*(-(VLOOKUP(C$50,$E$8:$G$33,3,0))))/SUMPRODUCT(($G$8:$G$33&gt;0)*($G$8:$G$33))</f>
        <v>273165.89340214571</v>
      </c>
      <c r="D54" s="62" cm="1">
        <f t="array" ref="D54">(VLOOKUP($B54,$E$8:$G$33,3,0)*(-(VLOOKUP(D$50,$E$8:$G$33,3,0))))/SUMPRODUCT(($G$8:$G$33&gt;0)*($G$8:$G$33))</f>
        <v>305819.35615922057</v>
      </c>
      <c r="E54" s="62" cm="1">
        <f t="array" ref="E54">(VLOOKUP($B54,$E$8:$G$33,3,0)*(-(VLOOKUP(E$50,$E$8:$G$33,3,0))))/SUMPRODUCT(($G$8:$G$33&gt;0)*($G$8:$G$33))</f>
        <v>11112.359774991419</v>
      </c>
      <c r="F54" s="62" cm="1">
        <f t="array" ref="F54">(VLOOKUP($B54,$E$8:$G$33,3,0)*(-(VLOOKUP(F$50,$E$8:$G$33,3,0))))/SUMPRODUCT(($G$8:$G$33&gt;0)*($G$8:$G$33))</f>
        <v>879281.07437727868</v>
      </c>
      <c r="G54" s="62" cm="1">
        <f t="array" ref="G54">(VLOOKUP($B54,$E$8:$G$33,3,0)*(-(VLOOKUP(G$50,$E$8:$G$33,3,0))))/SUMPRODUCT(($G$8:$G$33&gt;0)*($G$8:$G$33))</f>
        <v>240503.9008502753</v>
      </c>
      <c r="H54" s="62" cm="1">
        <f t="array" ref="H54">(VLOOKUP($B54,$E$8:$G$33,3,0)*(-(VLOOKUP(H$50,$E$8:$G$33,3,0))))/SUMPRODUCT(($G$8:$G$33&gt;0)*($G$8:$G$33))</f>
        <v>208244.70574454372</v>
      </c>
      <c r="I54" s="62" cm="1">
        <f t="array" ref="I54">(VLOOKUP($B54,$E$8:$G$33,3,0)*(-(VLOOKUP(I$50,$E$8:$G$33,3,0))))/SUMPRODUCT(($G$8:$G$33&gt;0)*($G$8:$G$33))</f>
        <v>0</v>
      </c>
      <c r="J54" s="63">
        <f t="shared" ref="J54:J56" si="1">SUM(C54:I54)</f>
        <v>1918127.2903084555</v>
      </c>
      <c r="K54" s="14"/>
      <c r="L54" s="14"/>
    </row>
    <row r="55" spans="2:13" x14ac:dyDescent="0.3">
      <c r="B55" s="64" t="s">
        <v>31</v>
      </c>
      <c r="C55" s="62" cm="1">
        <f t="array" ref="C55">(VLOOKUP($B55,$E$8:$G$33,3,0)*(-(VLOOKUP(C$50,$E$8:$G$33,3,0))))/SUMPRODUCT(($G$8:$G$33&gt;0)*($G$8:$G$33))</f>
        <v>159119.35321909707</v>
      </c>
      <c r="D55" s="62" cm="1">
        <f t="array" ref="D55">(VLOOKUP($B55,$E$8:$G$33,3,0)*(-(VLOOKUP(D$50,$E$8:$G$33,3,0))))/SUMPRODUCT(($G$8:$G$33&gt;0)*($G$8:$G$33))</f>
        <v>178140.02161059549</v>
      </c>
      <c r="E55" s="62" cm="1">
        <f t="array" ref="E55">(VLOOKUP($B55,$E$8:$G$33,3,0)*(-(VLOOKUP(E$50,$E$8:$G$33,3,0))))/SUMPRODUCT(($G$8:$G$33&gt;0)*($G$8:$G$33))</f>
        <v>6472.9585312155832</v>
      </c>
      <c r="F55" s="62" cm="1">
        <f t="array" ref="F55">(VLOOKUP($B55,$E$8:$G$33,3,0)*(-(VLOOKUP(F$50,$E$8:$G$33,3,0))))/SUMPRODUCT(($G$8:$G$33&gt;0)*($G$8:$G$33))</f>
        <v>512181.93497800099</v>
      </c>
      <c r="G55" s="62" cm="1">
        <f t="array" ref="G55">(VLOOKUP($B55,$E$8:$G$33,3,0)*(-(VLOOKUP(G$50,$E$8:$G$33,3,0))))/SUMPRODUCT(($G$8:$G$33&gt;0)*($G$8:$G$33))</f>
        <v>140093.71621525081</v>
      </c>
      <c r="H55" s="62" cm="1">
        <f t="array" ref="H55">(VLOOKUP($B55,$E$8:$G$33,3,0)*(-(VLOOKUP(H$50,$E$8:$G$33,3,0))))/SUMPRODUCT(($G$8:$G$33&gt;0)*($G$8:$G$33))</f>
        <v>121302.70904864253</v>
      </c>
      <c r="I55" s="62" cm="1">
        <f t="array" ref="I55">(VLOOKUP($B55,$E$8:$G$33,3,0)*(-(VLOOKUP(I$50,$E$8:$G$33,3,0))))/SUMPRODUCT(($G$8:$G$33&gt;0)*($G$8:$G$33))</f>
        <v>0</v>
      </c>
      <c r="J55" s="63">
        <f t="shared" si="1"/>
        <v>1117310.6936028025</v>
      </c>
      <c r="K55" s="14"/>
      <c r="L55" s="14"/>
    </row>
    <row r="56" spans="2:13" x14ac:dyDescent="0.3">
      <c r="B56" s="61" t="s">
        <v>34</v>
      </c>
      <c r="C56" s="62" cm="1">
        <f t="array" ref="C56">(VLOOKUP($B56,$E$8:$G$33,3,0)*(-(VLOOKUP(C$50,$E$8:$G$33,3,0))))/SUMPRODUCT(($G$8:$G$33&gt;0)*($G$8:$G$33))</f>
        <v>124565.76967470469</v>
      </c>
      <c r="D56" s="62" cm="1">
        <f t="array" ref="D56">(VLOOKUP($B56,$E$8:$G$33,3,0)*(-(VLOOKUP(D$50,$E$8:$G$33,3,0))))/SUMPRODUCT(($G$8:$G$33&gt;0)*($G$8:$G$33))</f>
        <v>139456.00238355639</v>
      </c>
      <c r="E56" s="62" cm="1">
        <f t="array" ref="E56">(VLOOKUP($B56,$E$8:$G$33,3,0)*(-(VLOOKUP(E$50,$E$8:$G$33,3,0))))/SUMPRODUCT(($G$8:$G$33&gt;0)*($G$8:$G$33))</f>
        <v>5067.3223916582883</v>
      </c>
      <c r="F56" s="62" cm="1">
        <f t="array" ref="F56">(VLOOKUP($B56,$E$8:$G$33,3,0)*(-(VLOOKUP(F$50,$E$8:$G$33,3,0))))/SUMPRODUCT(($G$8:$G$33&gt;0)*($G$8:$G$33))</f>
        <v>400959.00123579119</v>
      </c>
      <c r="G56" s="62" cm="1">
        <f t="array" ref="G56">(VLOOKUP($B56,$E$8:$G$33,3,0)*(-(VLOOKUP(G$50,$E$8:$G$33,3,0))))/SUMPRODUCT(($G$8:$G$33&gt;0)*($G$8:$G$33))</f>
        <v>109671.6473131564</v>
      </c>
      <c r="H56" s="62" cm="1">
        <f t="array" ref="H56">(VLOOKUP($B56,$E$8:$G$33,3,0)*(-(VLOOKUP(H$50,$E$8:$G$33,3,0))))/SUMPRODUCT(($G$8:$G$33&gt;0)*($G$8:$G$33))</f>
        <v>94961.203716465592</v>
      </c>
      <c r="I56" s="62" cm="1">
        <f t="array" ref="I56">(VLOOKUP($B56,$E$8:$G$33,3,0)*(-(VLOOKUP(I$50,$E$8:$G$33,3,0))))/SUMPRODUCT(($G$8:$G$33&gt;0)*($G$8:$G$33))</f>
        <v>0</v>
      </c>
      <c r="J56" s="63">
        <f t="shared" si="1"/>
        <v>874680.94671533257</v>
      </c>
      <c r="K56" s="14"/>
      <c r="L56" s="14"/>
    </row>
    <row r="57" spans="2:13" x14ac:dyDescent="0.3">
      <c r="B57" s="61" t="s">
        <v>35</v>
      </c>
      <c r="C57" s="62" cm="1">
        <f t="array" ref="C57">(VLOOKUP($B57,$E$8:$G$33,3,0)*(-(VLOOKUP(C$50,$E$8:$G$33,3,0))))/SUMPRODUCT(($G$8:$G$33&gt;0)*($G$8:$G$33))</f>
        <v>1105421.051191082</v>
      </c>
      <c r="D57" s="62" cm="1">
        <f t="array" ref="D57">(VLOOKUP($B57,$E$8:$G$33,3,0)*(-(VLOOKUP(D$50,$E$8:$G$33,3,0))))/SUMPRODUCT(($G$8:$G$33&gt;0)*($G$8:$G$33))</f>
        <v>1237559.8942816262</v>
      </c>
      <c r="E57" s="62" cm="1">
        <f t="array" ref="E57">(VLOOKUP($B57,$E$8:$G$33,3,0)*(-(VLOOKUP(E$50,$E$8:$G$33,3,0))))/SUMPRODUCT(($G$8:$G$33&gt;0)*($G$8:$G$33))</f>
        <v>44968.411944461361</v>
      </c>
      <c r="F57" s="62" cm="1">
        <f t="array" ref="F57">(VLOOKUP($B57,$E$8:$G$33,3,0)*(-(VLOOKUP(F$50,$E$8:$G$33,3,0))))/SUMPRODUCT(($G$8:$G$33&gt;0)*($G$8:$G$33))</f>
        <v>3558188.7527212072</v>
      </c>
      <c r="G57" s="62" cm="1">
        <f t="array" ref="G57">(VLOOKUP($B57,$E$8:$G$33,3,0)*(-(VLOOKUP(G$50,$E$8:$G$33,3,0))))/SUMPRODUCT(($G$8:$G$33&gt;0)*($G$8:$G$33))</f>
        <v>973247.69056025485</v>
      </c>
      <c r="H57" s="62" cm="1">
        <f t="array" ref="H57">(VLOOKUP($B57,$E$8:$G$33,3,0)*(-(VLOOKUP(H$50,$E$8:$G$33,3,0))))/SUMPRODUCT(($G$8:$G$33&gt;0)*($G$8:$G$33))</f>
        <v>842704.33128421742</v>
      </c>
      <c r="I57" s="62" cm="1">
        <f t="array" ref="I57">(VLOOKUP($B57,$E$8:$G$33,3,0)*(-(VLOOKUP(I$50,$E$8:$G$33,3,0))))/SUMPRODUCT(($G$8:$G$33&gt;0)*($G$8:$G$33))</f>
        <v>0</v>
      </c>
      <c r="J57" s="63">
        <f>SUM(C57:I57)</f>
        <v>7762090.1319828499</v>
      </c>
      <c r="K57" s="14"/>
      <c r="L57" s="14"/>
    </row>
    <row r="58" spans="2:13" x14ac:dyDescent="0.3">
      <c r="B58" s="61" t="s">
        <v>36</v>
      </c>
      <c r="C58" s="62" cm="1">
        <f t="array" ref="C58">(VLOOKUP($B58,$E$8:$G$33,3,0)*(-(VLOOKUP(C$50,$E$8:$G$33,3,0))))/SUMPRODUCT(($G$8:$G$33&gt;0)*($G$8:$G$33))</f>
        <v>229023.05159124444</v>
      </c>
      <c r="D58" s="62" cm="1">
        <f t="array" ref="D58">(VLOOKUP($B58,$E$8:$G$33,3,0)*(-(VLOOKUP(D$50,$E$8:$G$33,3,0))))/SUMPRODUCT(($G$8:$G$33&gt;0)*($G$8:$G$33))</f>
        <v>256399.80639949159</v>
      </c>
      <c r="E58" s="62" cm="1">
        <f t="array" ref="E58">(VLOOKUP($B58,$E$8:$G$33,3,0)*(-(VLOOKUP(E$50,$E$8:$G$33,3,0))))/SUMPRODUCT(($G$8:$G$33&gt;0)*($G$8:$G$33))</f>
        <v>9316.6336190502534</v>
      </c>
      <c r="F58" s="62" cm="1">
        <f t="array" ref="F58">(VLOOKUP($B58,$E$8:$G$33,3,0)*(-(VLOOKUP(F$50,$E$8:$G$33,3,0))))/SUMPRODUCT(($G$8:$G$33&gt;0)*($G$8:$G$33))</f>
        <v>737191.72021176806</v>
      </c>
      <c r="G58" s="62" cm="1">
        <f t="array" ref="G58">(VLOOKUP($B58,$E$8:$G$33,3,0)*(-(VLOOKUP(G$50,$E$8:$G$33,3,0))))/SUMPRODUCT(($G$8:$G$33&gt;0)*($G$8:$G$33))</f>
        <v>201639.14537910416</v>
      </c>
      <c r="H58" s="62" cm="1">
        <f t="array" ref="H58">(VLOOKUP($B58,$E$8:$G$33,3,0)*(-(VLOOKUP(H$50,$E$8:$G$33,3,0))))/SUMPRODUCT(($G$8:$G$33&gt;0)*($G$8:$G$33))</f>
        <v>174592.94567614389</v>
      </c>
      <c r="I58" s="62" cm="1">
        <f t="array" ref="I58">(VLOOKUP($B58,$E$8:$G$33,3,0)*(-(VLOOKUP(I$50,$E$8:$G$33,3,0))))/SUMPRODUCT(($G$8:$G$33&gt;0)*($G$8:$G$33))</f>
        <v>0</v>
      </c>
      <c r="J58" s="63">
        <f>SUM(C58:I58)</f>
        <v>1608163.3028768024</v>
      </c>
      <c r="K58" s="14"/>
      <c r="L58" s="14"/>
    </row>
    <row r="59" spans="2:13" x14ac:dyDescent="0.3">
      <c r="B59" s="61" t="s">
        <v>37</v>
      </c>
      <c r="C59" s="62" cm="1">
        <f t="array" ref="C59">(VLOOKUP($B59,$E$8:$G$33,3,0)*(-(VLOOKUP(C$50,$E$8:$G$33,3,0))))/SUMPRODUCT(($G$8:$G$33&gt;0)*($G$8:$G$33))</f>
        <v>1755718.6841084079</v>
      </c>
      <c r="D59" s="62" cm="1">
        <f t="array" ref="D59">(VLOOKUP($B59,$E$8:$G$33,3,0)*(-(VLOOKUP(D$50,$E$8:$G$33,3,0))))/SUMPRODUCT(($G$8:$G$33&gt;0)*($G$8:$G$33))</f>
        <v>1965592.2299944407</v>
      </c>
      <c r="E59" s="62" cm="1">
        <f t="array" ref="E59">(VLOOKUP($B59,$E$8:$G$33,3,0)*(-(VLOOKUP(E$50,$E$8:$G$33,3,0))))/SUMPRODUCT(($G$8:$G$33&gt;0)*($G$8:$G$33))</f>
        <v>71422.451165105391</v>
      </c>
      <c r="F59" s="62" cm="1">
        <f t="array" ref="F59">(VLOOKUP($B59,$E$8:$G$33,3,0)*(-(VLOOKUP(F$50,$E$8:$G$33,3,0))))/SUMPRODUCT(($G$8:$G$33&gt;0)*($G$8:$G$33))</f>
        <v>5651401.7604475077</v>
      </c>
      <c r="G59" s="62" cm="1">
        <f t="array" ref="G59">(VLOOKUP($B59,$E$8:$G$33,3,0)*(-(VLOOKUP(G$50,$E$8:$G$33,3,0))))/SUMPRODUCT(($G$8:$G$33&gt;0)*($G$8:$G$33))</f>
        <v>1545790.3146867291</v>
      </c>
      <c r="H59" s="62" cm="1">
        <f t="array" ref="H59">(VLOOKUP($B59,$E$8:$G$33,3,0)*(-(VLOOKUP(H$50,$E$8:$G$33,3,0))))/SUMPRODUCT(($G$8:$G$33&gt;0)*($G$8:$G$33))</f>
        <v>1338450.8446085565</v>
      </c>
      <c r="I59" s="62" cm="1">
        <f t="array" ref="I59">(VLOOKUP($B59,$E$8:$G$33,3,0)*(-(VLOOKUP(I$50,$E$8:$G$33,3,0))))/SUMPRODUCT(($G$8:$G$33&gt;0)*($G$8:$G$33))</f>
        <v>0</v>
      </c>
      <c r="J59" s="63">
        <f>SUM(C59:I59)</f>
        <v>12328376.285010746</v>
      </c>
      <c r="K59" s="14"/>
      <c r="L59" s="14"/>
    </row>
    <row r="60" spans="2:13" x14ac:dyDescent="0.3">
      <c r="B60" s="61" t="s">
        <v>38</v>
      </c>
      <c r="C60" s="62" cm="1">
        <f t="array" ref="C60">(VLOOKUP($B60,$E$8:$G$33,3,0)*(-(VLOOKUP(C$50,$E$8:$G$33,3,0))))/SUMPRODUCT(($G$8:$G$33&gt;0)*($G$8:$G$33))</f>
        <v>83371.016005549172</v>
      </c>
      <c r="D60" s="62" cm="1">
        <f t="array" ref="D60">(VLOOKUP($B60,$E$8:$G$33,3,0)*(-(VLOOKUP(D$50,$E$8:$G$33,3,0))))/SUMPRODUCT(($G$8:$G$33&gt;0)*($G$8:$G$33))</f>
        <v>93336.946716192222</v>
      </c>
      <c r="E60" s="62" cm="1">
        <f t="array" ref="E60">(VLOOKUP($B60,$E$8:$G$33,3,0)*(-(VLOOKUP(E$50,$E$8:$G$33,3,0))))/SUMPRODUCT(($G$8:$G$33&gt;0)*($G$8:$G$33))</f>
        <v>3391.5241508439103</v>
      </c>
      <c r="F60" s="62" cm="1">
        <f t="array" ref="F60">(VLOOKUP($B60,$E$8:$G$33,3,0)*(-(VLOOKUP(F$50,$E$8:$G$33,3,0))))/SUMPRODUCT(($G$8:$G$33&gt;0)*($G$8:$G$33))</f>
        <v>268359.11179206072</v>
      </c>
      <c r="G60" s="62" cm="1">
        <f t="array" ref="G60">(VLOOKUP($B60,$E$8:$G$33,3,0)*(-(VLOOKUP(G$50,$E$8:$G$33,3,0))))/SUMPRODUCT(($G$8:$G$33&gt;0)*($G$8:$G$33))</f>
        <v>73402.481977011746</v>
      </c>
      <c r="H60" s="62" cm="1">
        <f t="array" ref="H60">(VLOOKUP($B60,$E$8:$G$33,3,0)*(-(VLOOKUP(H$50,$E$8:$G$33,3,0))))/SUMPRODUCT(($G$8:$G$33&gt;0)*($G$8:$G$33))</f>
        <v>63556.882887059779</v>
      </c>
      <c r="I60" s="62" cm="1">
        <f t="array" ref="I60">(VLOOKUP($B60,$E$8:$G$33,3,0)*(-(VLOOKUP(I$50,$E$8:$G$33,3,0))))/SUMPRODUCT(($G$8:$G$33&gt;0)*($G$8:$G$33))</f>
        <v>0</v>
      </c>
      <c r="J60" s="63">
        <f>SUM(C60:I60)</f>
        <v>585417.96352871764</v>
      </c>
      <c r="K60" s="14"/>
      <c r="L60" s="14"/>
    </row>
    <row r="61" spans="2:13" x14ac:dyDescent="0.3">
      <c r="B61" s="61" t="s">
        <v>39</v>
      </c>
      <c r="C61" s="62" cm="1">
        <f t="array" ref="C61">(VLOOKUP($B61,$E$8:$G$33,3,0)*(-(VLOOKUP(C$50,$E$8:$G$33,3,0))))/SUMPRODUCT(($G$8:$G$33&gt;0)*($G$8:$G$33))</f>
        <v>2631829.1912494316</v>
      </c>
      <c r="D61" s="62" cm="1">
        <f t="array" ref="D61">(VLOOKUP($B61,$E$8:$G$33,3,0)*(-(VLOOKUP(D$50,$E$8:$G$33,3,0))))/SUMPRODUCT(($G$8:$G$33&gt;0)*($G$8:$G$33))</f>
        <v>2946430.4593987097</v>
      </c>
      <c r="E61" s="62" cm="1">
        <f t="array" ref="E61">(VLOOKUP($B61,$E$8:$G$33,3,0)*(-(VLOOKUP(E$50,$E$8:$G$33,3,0))))/SUMPRODUCT(($G$8:$G$33&gt;0)*($G$8:$G$33))</f>
        <v>107062.53432756937</v>
      </c>
      <c r="F61" s="62" cm="1">
        <f t="array" ref="F61">(VLOOKUP($B61,$E$8:$G$33,3,0)*(-(VLOOKUP(F$50,$E$8:$G$33,3,0))))/SUMPRODUCT(($G$8:$G$33&gt;0)*($G$8:$G$33))</f>
        <v>8471473.3967630342</v>
      </c>
      <c r="G61" s="62" cm="1">
        <f t="array" ref="G61">(VLOOKUP($B61,$E$8:$G$33,3,0)*(-(VLOOKUP(G$50,$E$8:$G$33,3,0))))/SUMPRODUCT(($G$8:$G$33&gt;0)*($G$8:$G$33))</f>
        <v>2317145.7424052688</v>
      </c>
      <c r="H61" s="62" cm="1">
        <f t="array" ref="H61">(VLOOKUP($B61,$E$8:$G$33,3,0)*(-(VLOOKUP(H$50,$E$8:$G$33,3,0))))/SUMPRODUCT(($G$8:$G$33&gt;0)*($G$8:$G$33))</f>
        <v>2006343.0638275037</v>
      </c>
      <c r="I61" s="62" cm="1">
        <f t="array" ref="I61">(VLOOKUP($B61,$E$8:$G$33,3,0)*(-(VLOOKUP(I$50,$E$8:$G$33,3,0))))/SUMPRODUCT(($G$8:$G$33&gt;0)*($G$8:$G$33))</f>
        <v>0</v>
      </c>
      <c r="J61" s="63">
        <f>SUM(C61:I61)</f>
        <v>18480284.387971517</v>
      </c>
      <c r="K61" s="14"/>
      <c r="L61" s="14"/>
    </row>
    <row r="62" spans="2:13" x14ac:dyDescent="0.3">
      <c r="B62" s="61" t="s">
        <v>40</v>
      </c>
      <c r="C62" s="62" cm="1">
        <f t="array" ref="C62">(VLOOKUP($B62,$E$8:$G$33,3,0)*(-(VLOOKUP(C$50,$E$8:$G$33,3,0))))/SUMPRODUCT(($G$8:$G$33&gt;0)*($G$8:$G$33))</f>
        <v>51140.804061061921</v>
      </c>
      <c r="D62" s="62" cm="1">
        <f t="array" ref="D62">(VLOOKUP($B62,$E$8:$G$33,3,0)*(-(VLOOKUP(D$50,$E$8:$G$33,3,0))))/SUMPRODUCT(($G$8:$G$33&gt;0)*($G$8:$G$33))</f>
        <v>57254.028226702314</v>
      </c>
      <c r="E62" s="62" cm="1">
        <f t="array" ref="E62">(VLOOKUP($B62,$E$8:$G$33,3,0)*(-(VLOOKUP(E$50,$E$8:$G$33,3,0))))/SUMPRODUCT(($G$8:$G$33&gt;0)*($G$8:$G$33))</f>
        <v>2080.4025232836711</v>
      </c>
      <c r="F62" s="62" cm="1">
        <f t="array" ref="F62">(VLOOKUP($B62,$E$8:$G$33,3,0)*(-(VLOOKUP(F$50,$E$8:$G$33,3,0))))/SUMPRODUCT(($G$8:$G$33&gt;0)*($G$8:$G$33))</f>
        <v>164614.77155615942</v>
      </c>
      <c r="G62" s="62" cm="1">
        <f t="array" ref="G62">(VLOOKUP($B62,$E$8:$G$33,3,0)*(-(VLOOKUP(G$50,$E$8:$G$33,3,0))))/SUMPRODUCT(($G$8:$G$33&gt;0)*($G$8:$G$33))</f>
        <v>45025.982988286116</v>
      </c>
      <c r="H62" s="62" cm="1">
        <f t="array" ref="H62">(VLOOKUP($B62,$E$8:$G$33,3,0)*(-(VLOOKUP(H$50,$E$8:$G$33,3,0))))/SUMPRODUCT(($G$8:$G$33&gt;0)*($G$8:$G$33))</f>
        <v>38986.5717150747</v>
      </c>
      <c r="I62" s="62" cm="1">
        <f t="array" ref="I62">(VLOOKUP($B62,$E$8:$G$33,3,0)*(-(VLOOKUP(I$50,$E$8:$G$33,3,0))))/SUMPRODUCT(($G$8:$G$33&gt;0)*($G$8:$G$33))</f>
        <v>0</v>
      </c>
      <c r="J62" s="63">
        <f t="shared" ref="J62:J65" si="2">SUM(C62:I62)</f>
        <v>359102.56107056816</v>
      </c>
      <c r="K62" s="14"/>
      <c r="L62" s="14"/>
    </row>
    <row r="63" spans="2:13" x14ac:dyDescent="0.3">
      <c r="B63" s="61" t="s">
        <v>41</v>
      </c>
      <c r="C63" s="62" cm="1">
        <f t="array" ref="C63">(VLOOKUP($B63,$E$8:$G$33,3,0)*(-(VLOOKUP(C$50,$E$8:$G$33,3,0))))/SUMPRODUCT(($G$8:$G$33&gt;0)*($G$8:$G$33))</f>
        <v>132374.73795142179</v>
      </c>
      <c r="D63" s="62" cm="1">
        <f t="array" ref="D63">(VLOOKUP($B63,$E$8:$G$33,3,0)*(-(VLOOKUP(D$50,$E$8:$G$33,3,0))))/SUMPRODUCT(($G$8:$G$33&gt;0)*($G$8:$G$33))</f>
        <v>148198.43219758032</v>
      </c>
      <c r="E63" s="62" cm="1">
        <f t="array" ref="E63">(VLOOKUP($B63,$E$8:$G$33,3,0)*(-(VLOOKUP(E$50,$E$8:$G$33,3,0))))/SUMPRODUCT(($G$8:$G$33&gt;0)*($G$8:$G$33))</f>
        <v>5384.9903987495918</v>
      </c>
      <c r="F63" s="62" cm="1">
        <f t="array" ref="F63">(VLOOKUP($B63,$E$8:$G$33,3,0)*(-(VLOOKUP(F$50,$E$8:$G$33,3,0))))/SUMPRODUCT(($G$8:$G$33&gt;0)*($G$8:$G$33))</f>
        <v>426094.9284579411</v>
      </c>
      <c r="G63" s="62" cm="1">
        <f t="array" ref="G63">(VLOOKUP($B63,$E$8:$G$33,3,0)*(-(VLOOKUP(G$50,$E$8:$G$33,3,0))))/SUMPRODUCT(($G$8:$G$33&gt;0)*($G$8:$G$33))</f>
        <v>116546.91021210719</v>
      </c>
      <c r="H63" s="62" cm="1">
        <f t="array" ref="H63">(VLOOKUP($B63,$E$8:$G$33,3,0)*(-(VLOOKUP(H$50,$E$8:$G$33,3,0))))/SUMPRODUCT(($G$8:$G$33&gt;0)*($G$8:$G$33))</f>
        <v>100914.27597120503</v>
      </c>
      <c r="I63" s="62" cm="1">
        <f t="array" ref="I63">(VLOOKUP($B63,$E$8:$G$33,3,0)*(-(VLOOKUP(I$50,$E$8:$G$33,3,0))))/SUMPRODUCT(($G$8:$G$33&gt;0)*($G$8:$G$33))</f>
        <v>0</v>
      </c>
      <c r="J63" s="63">
        <f t="shared" si="2"/>
        <v>929514.27518900507</v>
      </c>
      <c r="K63" s="14"/>
      <c r="L63" s="14"/>
    </row>
    <row r="64" spans="2:13" x14ac:dyDescent="0.3">
      <c r="B64" s="61" t="s">
        <v>42</v>
      </c>
      <c r="C64" s="62" cm="1">
        <f t="array" ref="C64">(VLOOKUP($B64,$E$8:$G$33,3,0)*(-(VLOOKUP(C$50,$E$8:$G$33,3,0))))/SUMPRODUCT(($G$8:$G$33&gt;0)*($G$8:$G$33))</f>
        <v>158975.43854106346</v>
      </c>
      <c r="D64" s="62" cm="1">
        <f t="array" ref="D64">(VLOOKUP($B64,$E$8:$G$33,3,0)*(-(VLOOKUP(D$50,$E$8:$G$33,3,0))))/SUMPRODUCT(($G$8:$G$33&gt;0)*($G$8:$G$33))</f>
        <v>177978.90378717342</v>
      </c>
      <c r="E64" s="62" cm="1">
        <f t="array" ref="E64">(VLOOKUP($B64,$E$8:$G$33,3,0)*(-(VLOOKUP(E$50,$E$8:$G$33,3,0))))/SUMPRODUCT(($G$8:$G$33&gt;0)*($G$8:$G$33))</f>
        <v>6467.1040972696246</v>
      </c>
      <c r="F64" s="62" cm="1">
        <f t="array" ref="F64">(VLOOKUP($B64,$E$8:$G$33,3,0)*(-(VLOOKUP(F$50,$E$8:$G$33,3,0))))/SUMPRODUCT(($G$8:$G$33&gt;0)*($G$8:$G$33))</f>
        <v>511718.69466954214</v>
      </c>
      <c r="G64" s="62" cm="1">
        <f t="array" ref="G64">(VLOOKUP($B64,$E$8:$G$33,3,0)*(-(VLOOKUP(G$50,$E$8:$G$33,3,0))))/SUMPRODUCT(($G$8:$G$33&gt;0)*($G$8:$G$33))</f>
        <v>139967.00917644147</v>
      </c>
      <c r="H64" s="62" cm="1">
        <f t="array" ref="H64">(VLOOKUP($B64,$E$8:$G$33,3,0)*(-(VLOOKUP(H$50,$E$8:$G$33,3,0))))/SUMPRODUCT(($G$8:$G$33&gt;0)*($G$8:$G$33))</f>
        <v>121192.99743931174</v>
      </c>
      <c r="I64" s="62" cm="1">
        <f t="array" ref="I64">(VLOOKUP($B64,$E$8:$G$33,3,0)*(-(VLOOKUP(I$50,$E$8:$G$33,3,0))))/SUMPRODUCT(($G$8:$G$33&gt;0)*($G$8:$G$33))</f>
        <v>0</v>
      </c>
      <c r="J64" s="63">
        <f t="shared" si="2"/>
        <v>1116300.147710802</v>
      </c>
      <c r="K64" s="14"/>
      <c r="L64" s="14"/>
    </row>
    <row r="65" spans="2:17" x14ac:dyDescent="0.3">
      <c r="B65" s="61" t="s">
        <v>43</v>
      </c>
      <c r="C65" s="62" cm="1">
        <f t="array" ref="C65">(VLOOKUP($B65,$E$8:$G$33,3,0)*(-(VLOOKUP(C$50,$E$8:$G$33,3,0))))/SUMPRODUCT(($G$8:$G$33&gt;0)*($G$8:$G$33))</f>
        <v>101223.92296237452</v>
      </c>
      <c r="D65" s="62" cm="1">
        <f t="array" ref="D65">(VLOOKUP($B65,$E$8:$G$33,3,0)*(-(VLOOKUP(D$50,$E$8:$G$33,3,0))))/SUMPRODUCT(($G$8:$G$33&gt;0)*($G$8:$G$33))</f>
        <v>113323.93866129978</v>
      </c>
      <c r="E65" s="62" cm="1">
        <f t="array" ref="E65">(VLOOKUP($B65,$E$8:$G$33,3,0)*(-(VLOOKUP(E$50,$E$8:$G$33,3,0))))/SUMPRODUCT(($G$8:$G$33&gt;0)*($G$8:$G$33))</f>
        <v>4117.7785256594016</v>
      </c>
      <c r="F65" s="62" cm="1">
        <f t="array" ref="F65">(VLOOKUP($B65,$E$8:$G$33,3,0)*(-(VLOOKUP(F$50,$E$8:$G$33,3,0))))/SUMPRODUCT(($G$8:$G$33&gt;0)*($G$8:$G$33))</f>
        <v>325825.00921522593</v>
      </c>
      <c r="G65" s="62" cm="1">
        <f t="array" ref="G65">(VLOOKUP($B65,$E$8:$G$33,3,0)*(-(VLOOKUP(G$50,$E$8:$G$33,3,0))))/SUMPRODUCT(($G$8:$G$33&gt;0)*($G$8:$G$33))</f>
        <v>89120.746476132364</v>
      </c>
      <c r="H65" s="62" cm="1">
        <f t="array" ref="H65">(VLOOKUP($B65,$E$8:$G$33,3,0)*(-(VLOOKUP(H$50,$E$8:$G$33,3,0))))/SUMPRODUCT(($G$8:$G$33&gt;0)*($G$8:$G$33))</f>
        <v>77166.829976741385</v>
      </c>
      <c r="I65" s="62" cm="1">
        <f t="array" ref="I65">(VLOOKUP($B65,$E$8:$G$33,3,0)*(-(VLOOKUP(I$50,$E$8:$G$33,3,0))))/SUMPRODUCT(($G$8:$G$33&gt;0)*($G$8:$G$33))</f>
        <v>0</v>
      </c>
      <c r="J65" s="63">
        <f t="shared" si="2"/>
        <v>710778.22581743344</v>
      </c>
      <c r="K65" s="14"/>
      <c r="L65" s="14"/>
    </row>
    <row r="66" spans="2:17" x14ac:dyDescent="0.3">
      <c r="B66" s="61" t="s">
        <v>45</v>
      </c>
      <c r="C66" s="62" cm="1">
        <f t="array" ref="C66">(VLOOKUP($B66,$E$8:$G$33,3,0)*(-(VLOOKUP(C$50,$E$8:$G$33,3,0))))/SUMPRODUCT(($G$8:$G$33&gt;0)*($G$8:$G$33))</f>
        <v>18428.401553549411</v>
      </c>
      <c r="D66" s="62" cm="1">
        <f t="array" ref="D66">(VLOOKUP($B66,$E$8:$G$33,3,0)*(-(VLOOKUP(D$50,$E$8:$G$33,3,0))))/SUMPRODUCT(($G$8:$G$33&gt;0)*($G$8:$G$33))</f>
        <v>20631.279505502833</v>
      </c>
      <c r="E66" s="62" cm="1">
        <f t="array" ref="E66">(VLOOKUP($B66,$E$8:$G$33,3,0)*(-(VLOOKUP(E$50,$E$8:$G$33,3,0))))/SUMPRODUCT(($G$8:$G$33&gt;0)*($G$8:$G$33))</f>
        <v>749.66543440171381</v>
      </c>
      <c r="F66" s="62" cm="1">
        <f t="array" ref="F66">(VLOOKUP($B66,$E$8:$G$33,3,0)*(-(VLOOKUP(F$50,$E$8:$G$33,3,0))))/SUMPRODUCT(($G$8:$G$33&gt;0)*($G$8:$G$33))</f>
        <v>59318.330393488111</v>
      </c>
      <c r="G66" s="62" cm="1">
        <f t="array" ref="G66">(VLOOKUP($B66,$E$8:$G$33,3,0)*(-(VLOOKUP(G$50,$E$8:$G$33,3,0))))/SUMPRODUCT(($G$8:$G$33&gt;0)*($G$8:$G$33))</f>
        <v>16224.948161954877</v>
      </c>
      <c r="H66" s="62" cm="1">
        <f t="array" ref="H66">(VLOOKUP($B66,$E$8:$G$33,3,0)*(-(VLOOKUP(H$50,$E$8:$G$33,3,0))))/SUMPRODUCT(($G$8:$G$33&gt;0)*($G$8:$G$33))</f>
        <v>14048.66841561211</v>
      </c>
      <c r="I66" s="62" cm="1">
        <f t="array" ref="I66">(VLOOKUP($B66,$E$8:$G$33,3,0)*(-(VLOOKUP(I$50,$E$8:$G$33,3,0))))/SUMPRODUCT(($G$8:$G$33&gt;0)*($G$8:$G$33))</f>
        <v>0</v>
      </c>
      <c r="J66" s="63">
        <f>SUM(C66:I66)</f>
        <v>129401.29346450904</v>
      </c>
      <c r="K66" s="14"/>
      <c r="L66" s="14"/>
    </row>
    <row r="67" spans="2:17" x14ac:dyDescent="0.3">
      <c r="B67" s="61" t="s">
        <v>50</v>
      </c>
      <c r="C67" s="62" cm="1">
        <f t="array" ref="C67">(VLOOKUP($B67,$E$8:$G$33,3,0)*(-(VLOOKUP(C$50,$E$8:$G$33,3,0))))/SUMPRODUCT(($G$8:$G$33&gt;0)*($G$8:$G$33))</f>
        <v>148.24452780080674</v>
      </c>
      <c r="D67" s="62" cm="1">
        <f t="array" ref="D67">(VLOOKUP($B67,$E$8:$G$33,3,0)*(-(VLOOKUP(D$50,$E$8:$G$33,3,0))))/SUMPRODUCT(($G$8:$G$33&gt;0)*($G$8:$G$33))</f>
        <v>165.96525093792789</v>
      </c>
      <c r="E67" s="62" cm="1">
        <f t="array" ref="E67">(VLOOKUP($B67,$E$8:$G$33,3,0)*(-(VLOOKUP(E$50,$E$8:$G$33,3,0))))/SUMPRODUCT(($G$8:$G$33&gt;0)*($G$8:$G$33))</f>
        <v>6.0305717784874151</v>
      </c>
      <c r="F67" s="62" cm="1">
        <f t="array" ref="F67">(VLOOKUP($B67,$E$8:$G$33,3,0)*(-(VLOOKUP(F$50,$E$8:$G$33,3,0))))/SUMPRODUCT(($G$8:$G$33&gt;0)*($G$8:$G$33))</f>
        <v>477.17746184129504</v>
      </c>
      <c r="G67" s="62" cm="1">
        <f t="array" ref="G67">(VLOOKUP($B67,$E$8:$G$33,3,0)*(-(VLOOKUP(G$50,$E$8:$G$33,3,0))))/SUMPRODUCT(($G$8:$G$33&gt;0)*($G$8:$G$33))</f>
        <v>130.51917562531634</v>
      </c>
      <c r="H67" s="62" cm="1">
        <f t="array" ref="H67">(VLOOKUP($B67,$E$8:$G$33,3,0)*(-(VLOOKUP(H$50,$E$8:$G$33,3,0))))/SUMPRODUCT(($G$8:$G$33&gt;0)*($G$8:$G$33))</f>
        <v>113.01241778625109</v>
      </c>
      <c r="I67" s="62" cm="1">
        <f t="array" ref="I67">(VLOOKUP($B67,$E$8:$G$33,3,0)*(-(VLOOKUP(I$50,$E$8:$G$33,3,0))))/SUMPRODUCT(($G$8:$G$33&gt;0)*($G$8:$G$33))</f>
        <v>0</v>
      </c>
      <c r="J67" s="63">
        <f>SUM(C67:I67)</f>
        <v>1040.9494057700845</v>
      </c>
      <c r="K67" s="14"/>
      <c r="L67" s="14"/>
    </row>
    <row r="68" spans="2:17" x14ac:dyDescent="0.3">
      <c r="B68" s="61" t="s">
        <v>51</v>
      </c>
      <c r="C68" s="62" cm="1">
        <f t="array" ref="C68">(VLOOKUP($B68,$E$8:$G$33,3,0)*(-(VLOOKUP(C$50,$E$8:$G$33,3,0))))/SUMPRODUCT(($G$8:$G$33&gt;0)*($G$8:$G$33))</f>
        <v>934.52479056034508</v>
      </c>
      <c r="D68" s="62" cm="1">
        <f t="array" ref="D68">(VLOOKUP($B68,$E$8:$G$33,3,0)*(-(VLOOKUP(D$50,$E$8:$G$33,3,0))))/SUMPRODUCT(($G$8:$G$33&gt;0)*($G$8:$G$33))</f>
        <v>1046.2351877262222</v>
      </c>
      <c r="E68" s="62" cm="1">
        <f t="array" ref="E68">(VLOOKUP($B68,$E$8:$G$33,3,0)*(-(VLOOKUP(E$50,$E$8:$G$33,3,0))))/SUMPRODUCT(($G$8:$G$33&gt;0)*($G$8:$G$33))</f>
        <v>38.016370060031385</v>
      </c>
      <c r="F68" s="62" cm="1">
        <f t="array" ref="F68">(VLOOKUP($B68,$E$8:$G$33,3,0)*(-(VLOOKUP(F$50,$E$8:$G$33,3,0))))/SUMPRODUCT(($G$8:$G$33&gt;0)*($G$8:$G$33))</f>
        <v>3008.0986745530759</v>
      </c>
      <c r="G68" s="62" cm="1">
        <f t="array" ref="G68">(VLOOKUP($B68,$E$8:$G$33,3,0)*(-(VLOOKUP(G$50,$E$8:$G$33,3,0))))/SUMPRODUCT(($G$8:$G$33&gt;0)*($G$8:$G$33))</f>
        <v>822.78521220864843</v>
      </c>
      <c r="H68" s="62" cm="1">
        <f t="array" ref="H68">(VLOOKUP($B68,$E$8:$G$33,3,0)*(-(VLOOKUP(H$50,$E$8:$G$33,3,0))))/SUMPRODUCT(($G$8:$G$33&gt;0)*($G$8:$G$33))</f>
        <v>712.42363970644851</v>
      </c>
      <c r="I68" s="62" cm="1">
        <f t="array" ref="I68">(VLOOKUP($B68,$E$8:$G$33,3,0)*(-(VLOOKUP(I$50,$E$8:$G$33,3,0))))/SUMPRODUCT(($G$8:$G$33&gt;0)*($G$8:$G$33))</f>
        <v>0</v>
      </c>
      <c r="J68" s="63">
        <f>SUM(C68:I68)</f>
        <v>6562.0838748147717</v>
      </c>
      <c r="K68" s="14"/>
      <c r="L68" s="14"/>
    </row>
    <row r="69" spans="2:17" x14ac:dyDescent="0.3">
      <c r="B69" s="4" t="s">
        <v>52</v>
      </c>
      <c r="C69" s="65">
        <f t="shared" ref="C69:J69" si="3">SUM(C51:C68)</f>
        <v>23183951.07581779</v>
      </c>
      <c r="D69" s="65">
        <f t="shared" si="3"/>
        <v>25955293.696917202</v>
      </c>
      <c r="E69" s="65">
        <f t="shared" si="3"/>
        <v>943120.6881344252</v>
      </c>
      <c r="F69" s="65">
        <f t="shared" si="3"/>
        <v>74625749.050760567</v>
      </c>
      <c r="G69" s="65">
        <f t="shared" si="3"/>
        <v>20411884.51973968</v>
      </c>
      <c r="H69" s="65">
        <f t="shared" si="3"/>
        <v>17674003.916265089</v>
      </c>
      <c r="I69" s="65">
        <f t="shared" si="3"/>
        <v>0</v>
      </c>
      <c r="J69" s="65">
        <f t="shared" si="3"/>
        <v>162794002.94763479</v>
      </c>
      <c r="K69" s="14"/>
      <c r="L69" s="66"/>
    </row>
    <row r="70" spans="2:17" x14ac:dyDescent="0.3">
      <c r="B70"/>
      <c r="C70" s="14"/>
      <c r="D70" s="14"/>
      <c r="E70" s="14"/>
      <c r="F70" s="14"/>
      <c r="G70" s="14"/>
      <c r="H70" s="14"/>
      <c r="K70" s="66"/>
      <c r="Q70" s="14"/>
    </row>
    <row r="71" spans="2:17" x14ac:dyDescent="0.3">
      <c r="B71" s="16"/>
      <c r="C71" s="66"/>
      <c r="D71" s="66"/>
      <c r="E71" s="66"/>
      <c r="F71" s="66"/>
      <c r="G71" s="66"/>
      <c r="H71" s="66"/>
      <c r="J71" s="67">
        <f t="array" ref="J71">-SUMPRODUCT(($G$8:$G$33&lt;0)*($G$8:$G$33))</f>
        <v>162794002.94763479</v>
      </c>
    </row>
    <row r="72" spans="2:17" x14ac:dyDescent="0.3">
      <c r="B72"/>
      <c r="C72"/>
      <c r="D72"/>
      <c r="E72"/>
      <c r="F72"/>
      <c r="G72"/>
      <c r="H72"/>
      <c r="J72" s="68">
        <f>J69-J71</f>
        <v>0</v>
      </c>
    </row>
    <row r="73" spans="2:17" x14ac:dyDescent="0.3">
      <c r="B73"/>
      <c r="C73"/>
      <c r="D73"/>
      <c r="E73"/>
      <c r="F73"/>
      <c r="G73"/>
      <c r="H73"/>
      <c r="J73" s="68">
        <f>J69-J6</f>
        <v>0</v>
      </c>
    </row>
  </sheetData>
  <mergeCells count="9">
    <mergeCell ref="J6:J7"/>
    <mergeCell ref="B49:B50"/>
    <mergeCell ref="C49:I49"/>
    <mergeCell ref="B6:B7"/>
    <mergeCell ref="C6:C7"/>
    <mergeCell ref="E6:E7"/>
    <mergeCell ref="F6:F7"/>
    <mergeCell ref="G6:G7"/>
    <mergeCell ref="I6:I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E2689-39DF-4B68-A94B-528C7E122878}">
  <sheetPr codeName="Hoja7">
    <tabColor theme="9" tint="0.59999389629810485"/>
  </sheetPr>
  <dimension ref="B2:Q52"/>
  <sheetViews>
    <sheetView showGridLines="0" zoomScale="70" zoomScaleNormal="70" workbookViewId="0">
      <selection activeCell="J9" sqref="J9"/>
    </sheetView>
  </sheetViews>
  <sheetFormatPr baseColWidth="10" defaultColWidth="11.3984375" defaultRowHeight="13" x14ac:dyDescent="0.3"/>
  <cols>
    <col min="1" max="1" width="6.59765625" style="17" customWidth="1"/>
    <col min="2" max="2" width="24.8984375" style="17" customWidth="1"/>
    <col min="3" max="3" width="11.59765625" style="17" bestFit="1" customWidth="1"/>
    <col min="4" max="4" width="13.09765625" style="17" bestFit="1" customWidth="1"/>
    <col min="5" max="5" width="12.59765625" style="17" customWidth="1"/>
    <col min="6" max="6" width="12.296875" style="17" customWidth="1"/>
    <col min="7" max="7" width="14" style="17" customWidth="1"/>
    <col min="8" max="8" width="13.69921875" style="17" customWidth="1"/>
    <col min="9" max="9" width="13" style="17" customWidth="1"/>
    <col min="10" max="10" width="12.59765625" style="17" customWidth="1"/>
    <col min="11" max="11" width="12.09765625" style="17" customWidth="1"/>
    <col min="12" max="12" width="13.09765625" style="17" bestFit="1" customWidth="1"/>
    <col min="13" max="13" width="13.59765625" style="17" customWidth="1"/>
    <col min="14" max="14" width="16.3984375" style="17" customWidth="1"/>
    <col min="15" max="15" width="19.09765625" style="17" customWidth="1"/>
    <col min="16" max="16" width="13.59765625" style="17" customWidth="1"/>
    <col min="17" max="17" width="12.3984375" style="17" bestFit="1" customWidth="1"/>
    <col min="18" max="18" width="23.8984375" style="17" customWidth="1"/>
    <col min="19" max="16384" width="11.3984375" style="17"/>
  </cols>
  <sheetData>
    <row r="2" spans="2:17" x14ac:dyDescent="0.3">
      <c r="B2" s="16" t="s">
        <v>87</v>
      </c>
      <c r="C2" s="16"/>
      <c r="D2" s="16"/>
    </row>
    <row r="3" spans="2:17" x14ac:dyDescent="0.3">
      <c r="B3" s="18">
        <f>FechaFacturacion</f>
        <v>45778</v>
      </c>
      <c r="C3" s="19"/>
      <c r="D3" s="19"/>
      <c r="I3" s="20" t="s">
        <v>57</v>
      </c>
      <c r="J3" s="21"/>
      <c r="K3" s="21"/>
    </row>
    <row r="4" spans="2:17" x14ac:dyDescent="0.3">
      <c r="B4" s="22"/>
      <c r="D4" s="19"/>
      <c r="I4" s="23">
        <f>'Reliquidación TD'!$I$4</f>
        <v>1.9460661662498158E-3</v>
      </c>
      <c r="J4" s="24"/>
      <c r="K4" s="24"/>
    </row>
    <row r="6" spans="2:17" ht="12.75" customHeight="1" x14ac:dyDescent="0.3">
      <c r="B6" s="105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54</v>
      </c>
      <c r="H6" s="105" t="str">
        <f>"Saldo "&amp;TEXT(B3-1,"mmmmmmmmmm")</f>
        <v>Saldo abril</v>
      </c>
      <c r="I6" s="105" t="s">
        <v>58</v>
      </c>
      <c r="J6" s="105" t="s">
        <v>59</v>
      </c>
      <c r="K6" s="105" t="s">
        <v>60</v>
      </c>
      <c r="L6" s="108" t="s">
        <v>88</v>
      </c>
      <c r="M6" s="105" t="s">
        <v>89</v>
      </c>
      <c r="N6" s="103" t="s">
        <v>90</v>
      </c>
      <c r="O6" s="105" t="s">
        <v>64</v>
      </c>
      <c r="P6" s="105" t="s">
        <v>65</v>
      </c>
    </row>
    <row r="7" spans="2:17" x14ac:dyDescent="0.3">
      <c r="B7" s="109"/>
      <c r="C7" s="106"/>
      <c r="D7" s="106"/>
      <c r="E7" s="106"/>
      <c r="F7" s="106"/>
      <c r="G7" s="106"/>
      <c r="H7" s="107"/>
      <c r="I7" s="106"/>
      <c r="J7" s="106"/>
      <c r="K7" s="106"/>
      <c r="L7" s="108"/>
      <c r="M7" s="106"/>
      <c r="N7" s="104"/>
      <c r="O7" s="106"/>
      <c r="P7" s="106"/>
    </row>
    <row r="8" spans="2:17" ht="13.5" customHeight="1" x14ac:dyDescent="0.3">
      <c r="B8" s="109"/>
      <c r="C8" s="26" t="s">
        <v>12</v>
      </c>
      <c r="D8" s="26" t="s">
        <v>12</v>
      </c>
      <c r="E8" s="26" t="s">
        <v>12</v>
      </c>
      <c r="F8" s="26" t="s">
        <v>12</v>
      </c>
      <c r="G8" s="26" t="s">
        <v>13</v>
      </c>
      <c r="H8" s="26" t="s">
        <v>13</v>
      </c>
      <c r="I8" s="26" t="s">
        <v>13</v>
      </c>
      <c r="J8" s="26" t="s">
        <v>13</v>
      </c>
      <c r="K8" s="26" t="s">
        <v>13</v>
      </c>
      <c r="L8" s="26" t="s">
        <v>13</v>
      </c>
      <c r="M8" s="26" t="s">
        <v>13</v>
      </c>
      <c r="N8" s="28" t="s">
        <v>13</v>
      </c>
      <c r="O8" s="27" t="s">
        <v>13</v>
      </c>
      <c r="P8" s="27" t="s">
        <v>13</v>
      </c>
    </row>
    <row r="9" spans="2:17" x14ac:dyDescent="0.3">
      <c r="B9" s="30" t="s">
        <v>14</v>
      </c>
      <c r="C9" s="31">
        <f>SUMIF('Entrada CDRGL'!$E$8:$E$43,'Reliquidación CD RGL'!$B9,'Entrada CDRGL'!F$8:F$43)</f>
        <v>2403299.85</v>
      </c>
      <c r="D9" s="31">
        <f>SUMIF('Entrada CDRGL'!$E$8:$E$43,'Reliquidación CD RGL'!$B9,'Entrada CDRGL'!G$8:G$43)</f>
        <v>2882503</v>
      </c>
      <c r="E9" s="31">
        <f>SUMIF('Entrada CDRGL'!$E$8:$E$43,'Reliquidación CD RGL'!$B9,'Entrada CDRGL'!H$8:H$43)</f>
        <v>225166.5</v>
      </c>
      <c r="F9" s="31">
        <f>SUMIF('Entrada CDRGL'!$E$8:$E$43,'Reliquidación CD RGL'!$B9,'Entrada CDRGL'!I$8:I$43)</f>
        <v>43688</v>
      </c>
      <c r="G9" s="31">
        <f>SUMIF('Entrada CDRGL'!$E$8:$E$43,'Reliquidación CD RGL'!$B9,'Entrada CDRGL'!J$8:J$43)</f>
        <v>-189593.24317377759</v>
      </c>
      <c r="H9" s="31">
        <v>0</v>
      </c>
      <c r="I9" s="31">
        <f t="shared" ref="I9:I43" si="0">H9*($I$4+1)</f>
        <v>0</v>
      </c>
      <c r="J9" s="31">
        <v>0</v>
      </c>
      <c r="K9" s="31">
        <f>+J9*($I$4+1)</f>
        <v>0</v>
      </c>
      <c r="L9" s="31">
        <f>G9+I9+K9</f>
        <v>-189593.24317377759</v>
      </c>
      <c r="M9" s="31">
        <f>IF(L9&lt;0,-L9,0)</f>
        <v>189593.24317377759</v>
      </c>
      <c r="N9" s="31">
        <f>IF(L9&gt;0,L9,0)</f>
        <v>0</v>
      </c>
      <c r="O9" s="31">
        <f t="shared" ref="O9:O42" si="1">IF(OR($M$44=0,$N$44=0),0,((M9/$M$44-N9/$N$44)*$N$49))</f>
        <v>189593.24317377759</v>
      </c>
      <c r="P9" s="31">
        <f>L9+O9</f>
        <v>0</v>
      </c>
      <c r="Q9" s="69"/>
    </row>
    <row r="10" spans="2:17" x14ac:dyDescent="0.3">
      <c r="B10" s="32" t="s">
        <v>15</v>
      </c>
      <c r="C10" s="33">
        <f>SUMIF('Entrada CDRGL'!$E$8:$E$43,'Reliquidación CD RGL'!$B10,'Entrada CDRGL'!F$8:F$43)</f>
        <v>833539</v>
      </c>
      <c r="D10" s="33">
        <f>SUMIF('Entrada CDRGL'!$E$8:$E$43,'Reliquidación CD RGL'!$B10,'Entrada CDRGL'!G$8:G$43)</f>
        <v>3214581</v>
      </c>
      <c r="E10" s="33">
        <f>SUMIF('Entrada CDRGL'!$E$8:$E$43,'Reliquidación CD RGL'!$B10,'Entrada CDRGL'!H$8:H$43)</f>
        <v>985</v>
      </c>
      <c r="F10" s="33">
        <f>SUMIF('Entrada CDRGL'!$E$8:$E$43,'Reliquidación CD RGL'!$B10,'Entrada CDRGL'!I$8:I$43)</f>
        <v>47473</v>
      </c>
      <c r="G10" s="33">
        <f>SUMIF('Entrada CDRGL'!$E$8:$E$43,'Reliquidación CD RGL'!$B10,'Entrada CDRGL'!J$8:J$43)</f>
        <v>-17821412.238799401</v>
      </c>
      <c r="H10" s="33">
        <v>0</v>
      </c>
      <c r="I10" s="33">
        <f t="shared" si="0"/>
        <v>0</v>
      </c>
      <c r="J10" s="33">
        <v>0</v>
      </c>
      <c r="K10" s="33">
        <f t="shared" ref="K10:K43" si="2">+J10*($I$4+1)</f>
        <v>0</v>
      </c>
      <c r="L10" s="33">
        <f t="shared" ref="L10:L43" si="3">G10+I10+K10</f>
        <v>-17821412.238799401</v>
      </c>
      <c r="M10" s="33">
        <f t="shared" ref="M10:M43" si="4">IF(L10&lt;0,-L10,0)</f>
        <v>17821412.238799401</v>
      </c>
      <c r="N10" s="33">
        <f>IF(L10&gt;0,L10,0)</f>
        <v>0</v>
      </c>
      <c r="O10" s="33">
        <f t="shared" si="1"/>
        <v>17821412.238799401</v>
      </c>
      <c r="P10" s="33">
        <f t="shared" ref="P10:P43" si="5">L10+O10</f>
        <v>0</v>
      </c>
      <c r="Q10" s="69"/>
    </row>
    <row r="11" spans="2:17" x14ac:dyDescent="0.3">
      <c r="B11" s="32" t="s">
        <v>16</v>
      </c>
      <c r="C11" s="33">
        <f>SUMIF('Entrada CDRGL'!$E$8:$E$43,'Reliquidación CD RGL'!$B11,'Entrada CDRGL'!F$8:F$43)</f>
        <v>3832189.04</v>
      </c>
      <c r="D11" s="33">
        <f>SUMIF('Entrada CDRGL'!$E$8:$E$43,'Reliquidación CD RGL'!$B11,'Entrada CDRGL'!G$8:G$43)</f>
        <v>5150569.0470000003</v>
      </c>
      <c r="E11" s="33">
        <f>SUMIF('Entrada CDRGL'!$E$8:$E$43,'Reliquidación CD RGL'!$B11,'Entrada CDRGL'!H$8:H$43)</f>
        <v>0</v>
      </c>
      <c r="F11" s="33">
        <f>SUMIF('Entrada CDRGL'!$E$8:$E$43,'Reliquidación CD RGL'!$B11,'Entrada CDRGL'!I$8:I$43)</f>
        <v>27648</v>
      </c>
      <c r="G11" s="33">
        <f>SUMIF('Entrada CDRGL'!$E$8:$E$43,'Reliquidación CD RGL'!$B11,'Entrada CDRGL'!J$8:J$43)</f>
        <v>14445876.249619059</v>
      </c>
      <c r="H11" s="33">
        <v>13394211.981758233</v>
      </c>
      <c r="I11" s="33">
        <f t="shared" si="0"/>
        <v>13420278.004519511</v>
      </c>
      <c r="J11" s="33">
        <v>0</v>
      </c>
      <c r="K11" s="33">
        <f t="shared" si="2"/>
        <v>0</v>
      </c>
      <c r="L11" s="33">
        <f t="shared" si="3"/>
        <v>27866154.25413857</v>
      </c>
      <c r="M11" s="33">
        <f t="shared" si="4"/>
        <v>0</v>
      </c>
      <c r="N11" s="33">
        <f t="shared" ref="N11:N43" si="6">IF(L11&gt;0,L11,0)</f>
        <v>27866154.25413857</v>
      </c>
      <c r="O11" s="33">
        <f t="shared" si="1"/>
        <v>-12461684.093798069</v>
      </c>
      <c r="P11" s="33">
        <f t="shared" si="5"/>
        <v>15404470.160340501</v>
      </c>
      <c r="Q11" s="69"/>
    </row>
    <row r="12" spans="2:17" x14ac:dyDescent="0.3">
      <c r="B12" s="32" t="s">
        <v>17</v>
      </c>
      <c r="C12" s="33">
        <f>SUMIF('Entrada CDRGL'!$E$8:$E$43,'Reliquidación CD RGL'!$B12,'Entrada CDRGL'!F$8:F$43)</f>
        <v>444624</v>
      </c>
      <c r="D12" s="33">
        <f>SUMIF('Entrada CDRGL'!$E$8:$E$43,'Reliquidación CD RGL'!$B12,'Entrada CDRGL'!G$8:G$43)</f>
        <v>1319773</v>
      </c>
      <c r="E12" s="33">
        <f>SUMIF('Entrada CDRGL'!$E$8:$E$43,'Reliquidación CD RGL'!$B12,'Entrada CDRGL'!H$8:H$43)</f>
        <v>0</v>
      </c>
      <c r="F12" s="33">
        <f>SUMIF('Entrada CDRGL'!$E$8:$E$43,'Reliquidación CD RGL'!$B12,'Entrada CDRGL'!I$8:I$43)</f>
        <v>0</v>
      </c>
      <c r="G12" s="33">
        <f>SUMIF('Entrada CDRGL'!$E$8:$E$43,'Reliquidación CD RGL'!$B12,'Entrada CDRGL'!J$8:J$43)</f>
        <v>3247615.5869672382</v>
      </c>
      <c r="H12" s="33">
        <v>2731647.9888881147</v>
      </c>
      <c r="I12" s="33">
        <f t="shared" si="0"/>
        <v>2736963.956617394</v>
      </c>
      <c r="J12" s="33">
        <v>0</v>
      </c>
      <c r="K12" s="33">
        <f t="shared" si="2"/>
        <v>0</v>
      </c>
      <c r="L12" s="33">
        <f t="shared" si="3"/>
        <v>5984579.5435846318</v>
      </c>
      <c r="M12" s="33">
        <f t="shared" si="4"/>
        <v>0</v>
      </c>
      <c r="N12" s="33">
        <f t="shared" si="6"/>
        <v>5984579.5435846318</v>
      </c>
      <c r="O12" s="33">
        <f t="shared" si="1"/>
        <v>-2676291.067156563</v>
      </c>
      <c r="P12" s="33">
        <f t="shared" si="5"/>
        <v>3308288.4764280687</v>
      </c>
      <c r="Q12" s="69"/>
    </row>
    <row r="13" spans="2:17" x14ac:dyDescent="0.3">
      <c r="B13" s="32" t="s">
        <v>18</v>
      </c>
      <c r="C13" s="33">
        <f>SUMIF('Entrada CDRGL'!$E$8:$E$43,'Reliquidación CD RGL'!$B13,'Entrada CDRGL'!F$8:F$43)</f>
        <v>135352931.92899999</v>
      </c>
      <c r="D13" s="33">
        <f>SUMIF('Entrada CDRGL'!$E$8:$E$43,'Reliquidación CD RGL'!$B13,'Entrada CDRGL'!G$8:G$43)</f>
        <v>461125550.36400002</v>
      </c>
      <c r="E13" s="33">
        <f>SUMIF('Entrada CDRGL'!$E$8:$E$43,'Reliquidación CD RGL'!$B13,'Entrada CDRGL'!H$8:H$43)</f>
        <v>5508613.3389999997</v>
      </c>
      <c r="F13" s="33">
        <f>SUMIF('Entrada CDRGL'!$E$8:$E$43,'Reliquidación CD RGL'!$B13,'Entrada CDRGL'!I$8:I$43)</f>
        <v>1055476.9820000001</v>
      </c>
      <c r="G13" s="33">
        <f>SUMIF('Entrada CDRGL'!$E$8:$E$43,'Reliquidación CD RGL'!$B13,'Entrada CDRGL'!J$8:J$43)</f>
        <v>159514724.04574931</v>
      </c>
      <c r="H13" s="33">
        <v>133887158.17811608</v>
      </c>
      <c r="I13" s="33">
        <f t="shared" si="0"/>
        <v>134147711.44674185</v>
      </c>
      <c r="J13" s="33">
        <v>0</v>
      </c>
      <c r="K13" s="33">
        <f t="shared" si="2"/>
        <v>0</v>
      </c>
      <c r="L13" s="33">
        <f t="shared" si="3"/>
        <v>293662435.49249113</v>
      </c>
      <c r="M13" s="33">
        <f t="shared" si="4"/>
        <v>0</v>
      </c>
      <c r="N13" s="33">
        <f t="shared" si="6"/>
        <v>293662435.49249113</v>
      </c>
      <c r="O13" s="33">
        <f t="shared" si="1"/>
        <v>-131325207.91882432</v>
      </c>
      <c r="P13" s="33">
        <f t="shared" si="5"/>
        <v>162337227.57366681</v>
      </c>
      <c r="Q13" s="69"/>
    </row>
    <row r="14" spans="2:17" x14ac:dyDescent="0.3">
      <c r="B14" s="32" t="s">
        <v>20</v>
      </c>
      <c r="C14" s="33">
        <f>SUMIF('Entrada CDRGL'!$E$8:$E$43,'Reliquidación CD RGL'!$B14,'Entrada CDRGL'!F$8:F$43)</f>
        <v>158517.52100000001</v>
      </c>
      <c r="D14" s="33">
        <f>SUMIF('Entrada CDRGL'!$E$8:$E$43,'Reliquidación CD RGL'!$B14,'Entrada CDRGL'!G$8:G$43)</f>
        <v>904819.30099999998</v>
      </c>
      <c r="E14" s="33">
        <f>SUMIF('Entrada CDRGL'!$E$8:$E$43,'Reliquidación CD RGL'!$B14,'Entrada CDRGL'!H$8:H$43)</f>
        <v>0</v>
      </c>
      <c r="F14" s="33">
        <f>SUMIF('Entrada CDRGL'!$E$8:$E$43,'Reliquidación CD RGL'!$B14,'Entrada CDRGL'!I$8:I$43)</f>
        <v>0</v>
      </c>
      <c r="G14" s="33">
        <f>SUMIF('Entrada CDRGL'!$E$8:$E$43,'Reliquidación CD RGL'!$B14,'Entrada CDRGL'!J$8:J$43)</f>
        <v>-16026922.58963366</v>
      </c>
      <c r="H14" s="33">
        <v>0</v>
      </c>
      <c r="I14" s="33">
        <f t="shared" si="0"/>
        <v>0</v>
      </c>
      <c r="J14" s="33">
        <v>0</v>
      </c>
      <c r="K14" s="33">
        <f t="shared" si="2"/>
        <v>0</v>
      </c>
      <c r="L14" s="33">
        <f t="shared" si="3"/>
        <v>-16026922.58963366</v>
      </c>
      <c r="M14" s="33">
        <f t="shared" si="4"/>
        <v>16026922.58963366</v>
      </c>
      <c r="N14" s="33">
        <f t="shared" si="6"/>
        <v>0</v>
      </c>
      <c r="O14" s="33">
        <f t="shared" si="1"/>
        <v>16026922.58963366</v>
      </c>
      <c r="P14" s="33">
        <f t="shared" si="5"/>
        <v>0</v>
      </c>
      <c r="Q14" s="69"/>
    </row>
    <row r="15" spans="2:17" x14ac:dyDescent="0.3">
      <c r="B15" s="32" t="s">
        <v>21</v>
      </c>
      <c r="C15" s="33">
        <f>SUMIF('Entrada CDRGL'!$E$8:$E$43,'Reliquidación CD RGL'!$B15,'Entrada CDRGL'!F$8:F$43)</f>
        <v>10699553.1393271</v>
      </c>
      <c r="D15" s="33">
        <f>SUMIF('Entrada CDRGL'!$E$8:$E$43,'Reliquidación CD RGL'!$B15,'Entrada CDRGL'!G$8:G$43)</f>
        <v>18872801.526999999</v>
      </c>
      <c r="E15" s="33">
        <f>SUMIF('Entrada CDRGL'!$E$8:$E$43,'Reliquidación CD RGL'!$B15,'Entrada CDRGL'!H$8:H$43)</f>
        <v>612991.97100000002</v>
      </c>
      <c r="F15" s="33">
        <f>SUMIF('Entrada CDRGL'!$E$8:$E$43,'Reliquidación CD RGL'!$B15,'Entrada CDRGL'!I$8:I$43)</f>
        <v>39995.288999999997</v>
      </c>
      <c r="G15" s="33">
        <f>SUMIF('Entrada CDRGL'!$E$8:$E$43,'Reliquidación CD RGL'!$B15,'Entrada CDRGL'!J$8:J$43)</f>
        <v>-168274200.9143714</v>
      </c>
      <c r="H15" s="33">
        <v>0</v>
      </c>
      <c r="I15" s="33">
        <f t="shared" si="0"/>
        <v>0</v>
      </c>
      <c r="J15" s="33">
        <v>0</v>
      </c>
      <c r="K15" s="33">
        <f t="shared" si="2"/>
        <v>0</v>
      </c>
      <c r="L15" s="33">
        <f t="shared" si="3"/>
        <v>-168274200.9143714</v>
      </c>
      <c r="M15" s="33">
        <f t="shared" si="4"/>
        <v>168274200.9143714</v>
      </c>
      <c r="N15" s="33">
        <f t="shared" si="6"/>
        <v>0</v>
      </c>
      <c r="O15" s="33">
        <f t="shared" si="1"/>
        <v>168274200.9143714</v>
      </c>
      <c r="P15" s="33">
        <f t="shared" si="5"/>
        <v>0</v>
      </c>
      <c r="Q15" s="69"/>
    </row>
    <row r="16" spans="2:17" x14ac:dyDescent="0.3">
      <c r="B16" s="32" t="s">
        <v>22</v>
      </c>
      <c r="C16" s="33">
        <f>SUMIF('Entrada CDRGL'!$E$8:$E$43,'Reliquidación CD RGL'!$B16,'Entrada CDRGL'!F$8:F$43)</f>
        <v>0</v>
      </c>
      <c r="D16" s="33">
        <f>SUMIF('Entrada CDRGL'!$E$8:$E$43,'Reliquidación CD RGL'!$B16,'Entrada CDRGL'!G$8:G$43)</f>
        <v>0</v>
      </c>
      <c r="E16" s="33">
        <f>SUMIF('Entrada CDRGL'!$E$8:$E$43,'Reliquidación CD RGL'!$B16,'Entrada CDRGL'!H$8:H$43)</f>
        <v>0</v>
      </c>
      <c r="F16" s="33">
        <f>SUMIF('Entrada CDRGL'!$E$8:$E$43,'Reliquidación CD RGL'!$B16,'Entrada CDRGL'!I$8:I$43)</f>
        <v>0</v>
      </c>
      <c r="G16" s="33">
        <f>SUMIF('Entrada CDRGL'!$E$8:$E$43,'Reliquidación CD RGL'!$B16,'Entrada CDRGL'!J$8:J$43)</f>
        <v>0</v>
      </c>
      <c r="H16" s="33">
        <v>0</v>
      </c>
      <c r="I16" s="33">
        <f t="shared" si="0"/>
        <v>0</v>
      </c>
      <c r="J16" s="33">
        <v>0</v>
      </c>
      <c r="K16" s="33">
        <f t="shared" si="2"/>
        <v>0</v>
      </c>
      <c r="L16" s="33">
        <f t="shared" si="3"/>
        <v>0</v>
      </c>
      <c r="M16" s="33">
        <f t="shared" si="4"/>
        <v>0</v>
      </c>
      <c r="N16" s="33">
        <f t="shared" si="6"/>
        <v>0</v>
      </c>
      <c r="O16" s="33">
        <f t="shared" si="1"/>
        <v>0</v>
      </c>
      <c r="P16" s="33">
        <f t="shared" si="5"/>
        <v>0</v>
      </c>
      <c r="Q16" s="69"/>
    </row>
    <row r="17" spans="2:17" x14ac:dyDescent="0.3">
      <c r="B17" s="32" t="s">
        <v>23</v>
      </c>
      <c r="C17" s="33">
        <f>SUMIF('Entrada CDRGL'!$E$8:$E$43,'Reliquidación CD RGL'!$B17,'Entrada CDRGL'!F$8:F$43)</f>
        <v>0</v>
      </c>
      <c r="D17" s="33">
        <f>SUMIF('Entrada CDRGL'!$E$8:$E$43,'Reliquidación CD RGL'!$B17,'Entrada CDRGL'!G$8:G$43)</f>
        <v>0</v>
      </c>
      <c r="E17" s="33">
        <f>SUMIF('Entrada CDRGL'!$E$8:$E$43,'Reliquidación CD RGL'!$B17,'Entrada CDRGL'!H$8:H$43)</f>
        <v>0</v>
      </c>
      <c r="F17" s="33">
        <f>SUMIF('Entrada CDRGL'!$E$8:$E$43,'Reliquidación CD RGL'!$B17,'Entrada CDRGL'!I$8:I$43)</f>
        <v>0</v>
      </c>
      <c r="G17" s="33">
        <f>SUMIF('Entrada CDRGL'!$E$8:$E$43,'Reliquidación CD RGL'!$B17,'Entrada CDRGL'!J$8:J$43)</f>
        <v>0</v>
      </c>
      <c r="H17" s="33">
        <v>0</v>
      </c>
      <c r="I17" s="33">
        <f t="shared" si="0"/>
        <v>0</v>
      </c>
      <c r="J17" s="33">
        <v>0</v>
      </c>
      <c r="K17" s="33">
        <f t="shared" si="2"/>
        <v>0</v>
      </c>
      <c r="L17" s="33">
        <f t="shared" si="3"/>
        <v>0</v>
      </c>
      <c r="M17" s="33">
        <f t="shared" si="4"/>
        <v>0</v>
      </c>
      <c r="N17" s="33">
        <f t="shared" si="6"/>
        <v>0</v>
      </c>
      <c r="O17" s="33">
        <f t="shared" si="1"/>
        <v>0</v>
      </c>
      <c r="P17" s="33">
        <f t="shared" si="5"/>
        <v>0</v>
      </c>
      <c r="Q17" s="69"/>
    </row>
    <row r="18" spans="2:17" x14ac:dyDescent="0.3">
      <c r="B18" s="32" t="s">
        <v>24</v>
      </c>
      <c r="C18" s="33">
        <f>SUMIF('Entrada CDRGL'!$E$8:$E$43,'Reliquidación CD RGL'!$B18,'Entrada CDRGL'!F$8:F$43)+SUMIF('Entrada CDRGL'!$E$8:$E$43,"LUZ ANDES",'Entrada CDRGL'!F$8:F$43)</f>
        <v>106896174.19599999</v>
      </c>
      <c r="D18" s="33">
        <f>SUMIF('Entrada CDRGL'!$E$8:$E$43,'Reliquidación CD RGL'!$B18,'Entrada CDRGL'!G$8:G$43)+SUMIF('Entrada CDRGL'!$E$8:$E$43,"LUZ ANDES",'Entrada CDRGL'!G$8:G$43)</f>
        <v>546550889.21145499</v>
      </c>
      <c r="E18" s="33">
        <f>SUMIF('Entrada CDRGL'!$E$8:$E$43,'Reliquidación CD RGL'!$B18,'Entrada CDRGL'!H$8:H$43)+SUMIF('Entrada CDRGL'!$E$8:$E$43,"LUZ ANDES",'Entrada CDRGL'!H$8:H$43)</f>
        <v>294860.86</v>
      </c>
      <c r="F18" s="33">
        <f>SUMIF('Entrada CDRGL'!$E$8:$E$43,'Reliquidación CD RGL'!$B18,'Entrada CDRGL'!I$8:I$43)+SUMIF('Entrada CDRGL'!$E$8:$E$43,"LUZ ANDES",'Entrada CDRGL'!I$8:I$43)</f>
        <v>1324167.1939999999</v>
      </c>
      <c r="G18" s="33">
        <f>SUMIF('Entrada CDRGL'!$E$8:$E$43,'Reliquidación CD RGL'!$B18,'Entrada CDRGL'!J$8:J$43)+SUMIF('Entrada CDRGL'!$E$8:$E$43,"LUZ ANDES",'Entrada CDRGL'!J$8:J$43)</f>
        <v>920451395.89389241</v>
      </c>
      <c r="H18" s="33">
        <v>803786098.90595102</v>
      </c>
      <c r="I18" s="33">
        <f t="shared" si="0"/>
        <v>805350319.83793378</v>
      </c>
      <c r="J18" s="33">
        <v>0</v>
      </c>
      <c r="K18" s="33">
        <f t="shared" si="2"/>
        <v>0</v>
      </c>
      <c r="L18" s="33">
        <f t="shared" si="3"/>
        <v>1725801715.7318263</v>
      </c>
      <c r="M18" s="33">
        <f t="shared" si="4"/>
        <v>0</v>
      </c>
      <c r="N18" s="33">
        <f t="shared" si="6"/>
        <v>1725801715.7318263</v>
      </c>
      <c r="O18" s="33">
        <f t="shared" si="1"/>
        <v>-771774805.87550664</v>
      </c>
      <c r="P18" s="33">
        <f t="shared" si="5"/>
        <v>954026909.85631967</v>
      </c>
      <c r="Q18" s="69"/>
    </row>
    <row r="19" spans="2:17" x14ac:dyDescent="0.3">
      <c r="B19" s="32" t="s">
        <v>26</v>
      </c>
      <c r="C19" s="33">
        <f>SUMIF('Entrada CDRGL'!$E$8:$E$43,'Reliquidación CD RGL'!$B19,'Entrada CDRGL'!F$8:F$43)</f>
        <v>34143317.086000003</v>
      </c>
      <c r="D19" s="33">
        <f>SUMIF('Entrada CDRGL'!$E$8:$E$43,'Reliquidación CD RGL'!$B19,'Entrada CDRGL'!G$8:G$43)</f>
        <v>67997616.605000004</v>
      </c>
      <c r="E19" s="33">
        <f>SUMIF('Entrada CDRGL'!$E$8:$E$43,'Reliquidación CD RGL'!$B19,'Entrada CDRGL'!H$8:H$43)</f>
        <v>1527233.5549999999</v>
      </c>
      <c r="F19" s="33">
        <f>SUMIF('Entrada CDRGL'!$E$8:$E$43,'Reliquidación CD RGL'!$B19,'Entrada CDRGL'!I$8:I$43)</f>
        <v>148459.09400000001</v>
      </c>
      <c r="G19" s="33">
        <f>SUMIF('Entrada CDRGL'!$E$8:$E$43,'Reliquidación CD RGL'!$B19,'Entrada CDRGL'!J$8:J$43)</f>
        <v>-47320960.116474018</v>
      </c>
      <c r="H19" s="33">
        <v>0</v>
      </c>
      <c r="I19" s="33">
        <f t="shared" si="0"/>
        <v>0</v>
      </c>
      <c r="J19" s="33">
        <v>0</v>
      </c>
      <c r="K19" s="33">
        <f t="shared" si="2"/>
        <v>0</v>
      </c>
      <c r="L19" s="33">
        <f t="shared" si="3"/>
        <v>-47320960.116474018</v>
      </c>
      <c r="M19" s="33">
        <f t="shared" si="4"/>
        <v>47320960.116474018</v>
      </c>
      <c r="N19" s="33">
        <f t="shared" si="6"/>
        <v>0</v>
      </c>
      <c r="O19" s="33">
        <f t="shared" si="1"/>
        <v>47320960.116474018</v>
      </c>
      <c r="P19" s="33">
        <f t="shared" si="5"/>
        <v>0</v>
      </c>
      <c r="Q19" s="69"/>
    </row>
    <row r="20" spans="2:17" x14ac:dyDescent="0.3">
      <c r="B20" s="32" t="s">
        <v>27</v>
      </c>
      <c r="C20" s="33">
        <f>SUMIF('Entrada CDRGL'!$E$8:$E$43,'Reliquidación CD RGL'!$B20,'Entrada CDRGL'!F$8:F$43)</f>
        <v>3206338.7379999999</v>
      </c>
      <c r="D20" s="33">
        <f>SUMIF('Entrada CDRGL'!$E$8:$E$43,'Reliquidación CD RGL'!$B20,'Entrada CDRGL'!G$8:G$43)</f>
        <v>17558595.651999999</v>
      </c>
      <c r="E20" s="33">
        <f>SUMIF('Entrada CDRGL'!$E$8:$E$43,'Reliquidación CD RGL'!$B20,'Entrada CDRGL'!H$8:H$43)</f>
        <v>8160</v>
      </c>
      <c r="F20" s="33">
        <f>SUMIF('Entrada CDRGL'!$E$8:$E$43,'Reliquidación CD RGL'!$B20,'Entrada CDRGL'!I$8:I$43)</f>
        <v>19487.210999999999</v>
      </c>
      <c r="G20" s="33">
        <f>SUMIF('Entrada CDRGL'!$E$8:$E$43,'Reliquidación CD RGL'!$B20,'Entrada CDRGL'!J$8:J$43)</f>
        <v>38119641.953768127</v>
      </c>
      <c r="H20" s="33">
        <v>31141306.48136045</v>
      </c>
      <c r="I20" s="33">
        <f t="shared" si="0"/>
        <v>31201909.52427664</v>
      </c>
      <c r="J20" s="33">
        <v>0</v>
      </c>
      <c r="K20" s="33">
        <f t="shared" si="2"/>
        <v>0</v>
      </c>
      <c r="L20" s="33">
        <f t="shared" si="3"/>
        <v>69321551.478044763</v>
      </c>
      <c r="M20" s="33">
        <f t="shared" si="4"/>
        <v>0</v>
      </c>
      <c r="N20" s="33">
        <f t="shared" si="6"/>
        <v>69321551.478044763</v>
      </c>
      <c r="O20" s="33">
        <f t="shared" si="1"/>
        <v>-31000448.340770125</v>
      </c>
      <c r="P20" s="33">
        <f t="shared" si="5"/>
        <v>38321103.137274638</v>
      </c>
      <c r="Q20" s="69"/>
    </row>
    <row r="21" spans="2:17" x14ac:dyDescent="0.3">
      <c r="B21" s="32" t="s">
        <v>28</v>
      </c>
      <c r="C21" s="33">
        <f>SUMIF('Entrada CDRGL'!$E$8:$E$43,'Reliquidación CD RGL'!$B21,'Entrada CDRGL'!F$8:F$43)</f>
        <v>0</v>
      </c>
      <c r="D21" s="33">
        <f>SUMIF('Entrada CDRGL'!$E$8:$E$43,'Reliquidación CD RGL'!$B21,'Entrada CDRGL'!G$8:G$43)</f>
        <v>0</v>
      </c>
      <c r="E21" s="33">
        <f>SUMIF('Entrada CDRGL'!$E$8:$E$43,'Reliquidación CD RGL'!$B21,'Entrada CDRGL'!H$8:H$43)</f>
        <v>0</v>
      </c>
      <c r="F21" s="33">
        <f>SUMIF('Entrada CDRGL'!$E$8:$E$43,'Reliquidación CD RGL'!$B21,'Entrada CDRGL'!I$8:I$43)</f>
        <v>0</v>
      </c>
      <c r="G21" s="33">
        <f>SUMIF('Entrada CDRGL'!$E$8:$E$43,'Reliquidación CD RGL'!$B21,'Entrada CDRGL'!J$8:J$43)</f>
        <v>0</v>
      </c>
      <c r="H21" s="33">
        <v>0</v>
      </c>
      <c r="I21" s="33">
        <f t="shared" si="0"/>
        <v>0</v>
      </c>
      <c r="J21" s="33">
        <v>0</v>
      </c>
      <c r="K21" s="33">
        <f t="shared" si="2"/>
        <v>0</v>
      </c>
      <c r="L21" s="33">
        <f t="shared" si="3"/>
        <v>0</v>
      </c>
      <c r="M21" s="33">
        <f t="shared" si="4"/>
        <v>0</v>
      </c>
      <c r="N21" s="33">
        <f t="shared" si="6"/>
        <v>0</v>
      </c>
      <c r="O21" s="33">
        <f t="shared" si="1"/>
        <v>0</v>
      </c>
      <c r="P21" s="33">
        <f t="shared" si="5"/>
        <v>0</v>
      </c>
      <c r="Q21" s="69"/>
    </row>
    <row r="22" spans="2:17" x14ac:dyDescent="0.3">
      <c r="B22" s="32" t="s">
        <v>29</v>
      </c>
      <c r="C22" s="33">
        <f>SUMIF('Entrada CDRGL'!$E$8:$E$43,'Reliquidación CD RGL'!$B22,'Entrada CDRGL'!F$8:F$43)</f>
        <v>1471077</v>
      </c>
      <c r="D22" s="33">
        <f>SUMIF('Entrada CDRGL'!$E$8:$E$43,'Reliquidación CD RGL'!$B22,'Entrada CDRGL'!G$8:G$43)</f>
        <v>8457923</v>
      </c>
      <c r="E22" s="33">
        <f>SUMIF('Entrada CDRGL'!$E$8:$E$43,'Reliquidación CD RGL'!$B22,'Entrada CDRGL'!H$8:H$43)</f>
        <v>149</v>
      </c>
      <c r="F22" s="33">
        <f>SUMIF('Entrada CDRGL'!$E$8:$E$43,'Reliquidación CD RGL'!$B22,'Entrada CDRGL'!I$8:I$43)</f>
        <v>7093</v>
      </c>
      <c r="G22" s="33">
        <f>SUMIF('Entrada CDRGL'!$E$8:$E$43,'Reliquidación CD RGL'!$B22,'Entrada CDRGL'!J$8:J$43)</f>
        <v>-5259893.7693278398</v>
      </c>
      <c r="H22" s="33">
        <v>0</v>
      </c>
      <c r="I22" s="33">
        <f t="shared" si="0"/>
        <v>0</v>
      </c>
      <c r="J22" s="33">
        <v>0</v>
      </c>
      <c r="K22" s="33">
        <f t="shared" si="2"/>
        <v>0</v>
      </c>
      <c r="L22" s="33">
        <f t="shared" si="3"/>
        <v>-5259893.7693278398</v>
      </c>
      <c r="M22" s="33">
        <f t="shared" si="4"/>
        <v>5259893.7693278398</v>
      </c>
      <c r="N22" s="33">
        <f t="shared" si="6"/>
        <v>0</v>
      </c>
      <c r="O22" s="33">
        <f t="shared" si="1"/>
        <v>5259893.7693278398</v>
      </c>
      <c r="P22" s="33">
        <f t="shared" si="5"/>
        <v>0</v>
      </c>
      <c r="Q22" s="69"/>
    </row>
    <row r="23" spans="2:17" x14ac:dyDescent="0.3">
      <c r="B23" s="32" t="s">
        <v>30</v>
      </c>
      <c r="C23" s="33">
        <f>SUMIF('Entrada CDRGL'!$E$8:$E$43,'Reliquidación CD RGL'!$B23,'Entrada CDRGL'!F$8:F$43)</f>
        <v>4751790</v>
      </c>
      <c r="D23" s="33">
        <f>SUMIF('Entrada CDRGL'!$E$8:$E$43,'Reliquidación CD RGL'!$B23,'Entrada CDRGL'!G$8:G$43)</f>
        <v>12830052</v>
      </c>
      <c r="E23" s="33">
        <f>SUMIF('Entrada CDRGL'!$E$8:$E$43,'Reliquidación CD RGL'!$B23,'Entrada CDRGL'!H$8:H$43)</f>
        <v>587072</v>
      </c>
      <c r="F23" s="33">
        <f>SUMIF('Entrada CDRGL'!$E$8:$E$43,'Reliquidación CD RGL'!$B23,'Entrada CDRGL'!I$8:I$43)</f>
        <v>144840</v>
      </c>
      <c r="G23" s="33">
        <f>SUMIF('Entrada CDRGL'!$E$8:$E$43,'Reliquidación CD RGL'!$B23,'Entrada CDRGL'!J$8:J$43)</f>
        <v>22414417.473536901</v>
      </c>
      <c r="H23" s="33">
        <v>22623643.898602575</v>
      </c>
      <c r="I23" s="33">
        <f t="shared" si="0"/>
        <v>22667671.00655093</v>
      </c>
      <c r="J23" s="33">
        <v>0</v>
      </c>
      <c r="K23" s="33">
        <f t="shared" si="2"/>
        <v>0</v>
      </c>
      <c r="L23" s="33">
        <f t="shared" si="3"/>
        <v>45082088.480087832</v>
      </c>
      <c r="M23" s="33">
        <f t="shared" si="4"/>
        <v>0</v>
      </c>
      <c r="N23" s="33">
        <f t="shared" si="6"/>
        <v>45082088.480087832</v>
      </c>
      <c r="O23" s="33">
        <f t="shared" si="1"/>
        <v>-20160612.756389648</v>
      </c>
      <c r="P23" s="33">
        <f t="shared" si="5"/>
        <v>24921475.723698184</v>
      </c>
      <c r="Q23" s="69"/>
    </row>
    <row r="24" spans="2:17" x14ac:dyDescent="0.3">
      <c r="B24" s="32" t="s">
        <v>31</v>
      </c>
      <c r="C24" s="33">
        <f>SUMIF('Entrada CDRGL'!$E$8:$E$43,'Reliquidación CD RGL'!$B24,'Entrada CDRGL'!F$8:F$43)</f>
        <v>1571701</v>
      </c>
      <c r="D24" s="33">
        <f>SUMIF('Entrada CDRGL'!$E$8:$E$43,'Reliquidación CD RGL'!$B24,'Entrada CDRGL'!G$8:G$43)</f>
        <v>14400875</v>
      </c>
      <c r="E24" s="33">
        <f>SUMIF('Entrada CDRGL'!$E$8:$E$43,'Reliquidación CD RGL'!$B24,'Entrada CDRGL'!H$8:H$43)</f>
        <v>42</v>
      </c>
      <c r="F24" s="33">
        <f>SUMIF('Entrada CDRGL'!$E$8:$E$43,'Reliquidación CD RGL'!$B24,'Entrada CDRGL'!I$8:I$43)</f>
        <v>73423</v>
      </c>
      <c r="G24" s="33">
        <f>SUMIF('Entrada CDRGL'!$E$8:$E$43,'Reliquidación CD RGL'!$B24,'Entrada CDRGL'!J$8:J$43)</f>
        <v>22932697.696389209</v>
      </c>
      <c r="H24" s="33">
        <v>18130810.548327204</v>
      </c>
      <c r="I24" s="33">
        <f t="shared" si="0"/>
        <v>18166094.30530199</v>
      </c>
      <c r="J24" s="33">
        <v>0</v>
      </c>
      <c r="K24" s="33">
        <f t="shared" si="2"/>
        <v>0</v>
      </c>
      <c r="L24" s="33">
        <f t="shared" si="3"/>
        <v>41098792.0016912</v>
      </c>
      <c r="M24" s="33">
        <f t="shared" si="4"/>
        <v>0</v>
      </c>
      <c r="N24" s="33">
        <f t="shared" si="6"/>
        <v>41098792.0016912</v>
      </c>
      <c r="O24" s="33">
        <f t="shared" si="1"/>
        <v>-18379291.160556413</v>
      </c>
      <c r="P24" s="33">
        <f t="shared" si="5"/>
        <v>22719500.841134787</v>
      </c>
      <c r="Q24" s="69"/>
    </row>
    <row r="25" spans="2:17" x14ac:dyDescent="0.3">
      <c r="B25" s="32" t="s">
        <v>32</v>
      </c>
      <c r="C25" s="33">
        <f>SUMIF('Entrada CDRGL'!$E$8:$E$43,'Reliquidación CD RGL'!$B25,'Entrada CDRGL'!F$8:F$43)</f>
        <v>914925</v>
      </c>
      <c r="D25" s="33">
        <f>SUMIF('Entrada CDRGL'!$E$8:$E$43,'Reliquidación CD RGL'!$B25,'Entrada CDRGL'!G$8:G$43)</f>
        <v>2768158</v>
      </c>
      <c r="E25" s="33">
        <f>SUMIF('Entrada CDRGL'!$E$8:$E$43,'Reliquidación CD RGL'!$B25,'Entrada CDRGL'!H$8:H$43)</f>
        <v>226653</v>
      </c>
      <c r="F25" s="33">
        <f>SUMIF('Entrada CDRGL'!$E$8:$E$43,'Reliquidación CD RGL'!$B25,'Entrada CDRGL'!I$8:I$43)</f>
        <v>21393</v>
      </c>
      <c r="G25" s="33">
        <f>SUMIF('Entrada CDRGL'!$E$8:$E$43,'Reliquidación CD RGL'!$B25,'Entrada CDRGL'!J$8:J$43)</f>
        <v>-8669366.2423148155</v>
      </c>
      <c r="H25" s="33">
        <v>0</v>
      </c>
      <c r="I25" s="33">
        <f t="shared" si="0"/>
        <v>0</v>
      </c>
      <c r="J25" s="33">
        <v>0</v>
      </c>
      <c r="K25" s="33">
        <f t="shared" si="2"/>
        <v>0</v>
      </c>
      <c r="L25" s="33">
        <f t="shared" si="3"/>
        <v>-8669366.2423148155</v>
      </c>
      <c r="M25" s="33">
        <f t="shared" si="4"/>
        <v>8669366.2423148155</v>
      </c>
      <c r="N25" s="33">
        <f t="shared" si="6"/>
        <v>0</v>
      </c>
      <c r="O25" s="33">
        <f t="shared" si="1"/>
        <v>8669366.2423148155</v>
      </c>
      <c r="P25" s="33">
        <f t="shared" si="5"/>
        <v>0</v>
      </c>
      <c r="Q25" s="69"/>
    </row>
    <row r="26" spans="2:17" x14ac:dyDescent="0.3">
      <c r="B26" s="32" t="s">
        <v>33</v>
      </c>
      <c r="C26" s="33">
        <f>SUMIF('Entrada CDRGL'!$E$8:$E$43,'Reliquidación CD RGL'!$B26,'Entrada CDRGL'!F$8:F$43)</f>
        <v>1286656</v>
      </c>
      <c r="D26" s="33">
        <f>SUMIF('Entrada CDRGL'!$E$8:$E$43,'Reliquidación CD RGL'!$B26,'Entrada CDRGL'!G$8:G$43)</f>
        <v>2274598</v>
      </c>
      <c r="E26" s="33">
        <f>SUMIF('Entrada CDRGL'!$E$8:$E$43,'Reliquidación CD RGL'!$B26,'Entrada CDRGL'!H$8:H$43)</f>
        <v>75381</v>
      </c>
      <c r="F26" s="33">
        <f>SUMIF('Entrada CDRGL'!$E$8:$E$43,'Reliquidación CD RGL'!$B26,'Entrada CDRGL'!I$8:I$43)</f>
        <v>8875</v>
      </c>
      <c r="G26" s="33">
        <f>SUMIF('Entrada CDRGL'!$E$8:$E$43,'Reliquidación CD RGL'!$B26,'Entrada CDRGL'!J$8:J$43)</f>
        <v>4686081.0762699731</v>
      </c>
      <c r="H26" s="33">
        <v>4054467.0972099337</v>
      </c>
      <c r="I26" s="33">
        <f t="shared" si="0"/>
        <v>4062357.3584499871</v>
      </c>
      <c r="J26" s="33">
        <v>0</v>
      </c>
      <c r="K26" s="33">
        <f t="shared" si="2"/>
        <v>0</v>
      </c>
      <c r="L26" s="33">
        <f t="shared" si="3"/>
        <v>8748438.4347199611</v>
      </c>
      <c r="M26" s="33">
        <f t="shared" si="4"/>
        <v>0</v>
      </c>
      <c r="N26" s="33">
        <f t="shared" si="6"/>
        <v>8748438.4347199611</v>
      </c>
      <c r="O26" s="33">
        <f t="shared" si="1"/>
        <v>-3912282.8034776333</v>
      </c>
      <c r="P26" s="33">
        <f t="shared" si="5"/>
        <v>4836155.6312423274</v>
      </c>
      <c r="Q26" s="69"/>
    </row>
    <row r="27" spans="2:17" x14ac:dyDescent="0.3">
      <c r="B27" s="32" t="s">
        <v>34</v>
      </c>
      <c r="C27" s="33">
        <f>SUMIF('Entrada CDRGL'!$E$8:$E$43,'Reliquidación CD RGL'!$B27,'Entrada CDRGL'!F$8:F$43)</f>
        <v>1463055</v>
      </c>
      <c r="D27" s="33">
        <f>SUMIF('Entrada CDRGL'!$E$8:$E$43,'Reliquidación CD RGL'!$B27,'Entrada CDRGL'!G$8:G$43)</f>
        <v>6702899</v>
      </c>
      <c r="E27" s="33">
        <f>SUMIF('Entrada CDRGL'!$E$8:$E$43,'Reliquidación CD RGL'!$B27,'Entrada CDRGL'!H$8:H$43)</f>
        <v>452947</v>
      </c>
      <c r="F27" s="33">
        <f>SUMIF('Entrada CDRGL'!$E$8:$E$43,'Reliquidación CD RGL'!$B27,'Entrada CDRGL'!I$8:I$43)</f>
        <v>83409</v>
      </c>
      <c r="G27" s="33">
        <f>SUMIF('Entrada CDRGL'!$E$8:$E$43,'Reliquidación CD RGL'!$B27,'Entrada CDRGL'!J$8:J$43)</f>
        <v>-424032.98699167289</v>
      </c>
      <c r="H27" s="33">
        <v>0</v>
      </c>
      <c r="I27" s="33">
        <f t="shared" si="0"/>
        <v>0</v>
      </c>
      <c r="J27" s="33">
        <v>0</v>
      </c>
      <c r="K27" s="33">
        <f t="shared" si="2"/>
        <v>0</v>
      </c>
      <c r="L27" s="33">
        <f t="shared" si="3"/>
        <v>-424032.98699167289</v>
      </c>
      <c r="M27" s="33">
        <f t="shared" si="4"/>
        <v>424032.98699167289</v>
      </c>
      <c r="N27" s="33">
        <f t="shared" si="6"/>
        <v>0</v>
      </c>
      <c r="O27" s="33">
        <f t="shared" si="1"/>
        <v>424032.98699167289</v>
      </c>
      <c r="P27" s="33">
        <f t="shared" si="5"/>
        <v>0</v>
      </c>
      <c r="Q27" s="69"/>
    </row>
    <row r="28" spans="2:17" x14ac:dyDescent="0.3">
      <c r="B28" s="32" t="s">
        <v>35</v>
      </c>
      <c r="C28" s="33">
        <f>SUMIF('Entrada CDRGL'!$E$8:$E$43,'Reliquidación CD RGL'!$B28,'Entrada CDRGL'!F$8:F$43)</f>
        <v>19843499.850000001</v>
      </c>
      <c r="D28" s="33">
        <f>SUMIF('Entrada CDRGL'!$E$8:$E$43,'Reliquidación CD RGL'!$B28,'Entrada CDRGL'!G$8:G$43)</f>
        <v>54383712.899999999</v>
      </c>
      <c r="E28" s="33">
        <f>SUMIF('Entrada CDRGL'!$E$8:$E$43,'Reliquidación CD RGL'!$B28,'Entrada CDRGL'!H$8:H$43)</f>
        <v>345398.01299999998</v>
      </c>
      <c r="F28" s="33">
        <f>SUMIF('Entrada CDRGL'!$E$8:$E$43,'Reliquidación CD RGL'!$B28,'Entrada CDRGL'!I$8:I$43)</f>
        <v>156948</v>
      </c>
      <c r="G28" s="33">
        <f>SUMIF('Entrada CDRGL'!$E$8:$E$43,'Reliquidación CD RGL'!$B28,'Entrada CDRGL'!J$8:J$43)</f>
        <v>-59480348.453318678</v>
      </c>
      <c r="H28" s="33">
        <v>0</v>
      </c>
      <c r="I28" s="33">
        <f t="shared" si="0"/>
        <v>0</v>
      </c>
      <c r="J28" s="33">
        <v>0</v>
      </c>
      <c r="K28" s="33">
        <f t="shared" si="2"/>
        <v>0</v>
      </c>
      <c r="L28" s="33">
        <f t="shared" si="3"/>
        <v>-59480348.453318678</v>
      </c>
      <c r="M28" s="33">
        <f t="shared" si="4"/>
        <v>59480348.453318678</v>
      </c>
      <c r="N28" s="33">
        <f t="shared" si="6"/>
        <v>0</v>
      </c>
      <c r="O28" s="33">
        <f t="shared" si="1"/>
        <v>59480348.453318678</v>
      </c>
      <c r="P28" s="33">
        <f t="shared" si="5"/>
        <v>0</v>
      </c>
      <c r="Q28" s="69"/>
    </row>
    <row r="29" spans="2:17" x14ac:dyDescent="0.3">
      <c r="B29" s="32" t="s">
        <v>36</v>
      </c>
      <c r="C29" s="33">
        <f>SUMIF('Entrada CDRGL'!$E$8:$E$43,'Reliquidación CD RGL'!$B29,'Entrada CDRGL'!F$8:F$43)</f>
        <v>7133658.7800000003</v>
      </c>
      <c r="D29" s="33">
        <f>SUMIF('Entrada CDRGL'!$E$8:$E$43,'Reliquidación CD RGL'!$B29,'Entrada CDRGL'!G$8:G$43)</f>
        <v>5963228.7599999998</v>
      </c>
      <c r="E29" s="33">
        <f>SUMIF('Entrada CDRGL'!$E$8:$E$43,'Reliquidación CD RGL'!$B29,'Entrada CDRGL'!H$8:H$43)</f>
        <v>251094.44</v>
      </c>
      <c r="F29" s="33">
        <f>SUMIF('Entrada CDRGL'!$E$8:$E$43,'Reliquidación CD RGL'!$B29,'Entrada CDRGL'!I$8:I$43)</f>
        <v>6185</v>
      </c>
      <c r="G29" s="33">
        <f>SUMIF('Entrada CDRGL'!$E$8:$E$43,'Reliquidación CD RGL'!$B29,'Entrada CDRGL'!J$8:J$43)</f>
        <v>-19250515.408050049</v>
      </c>
      <c r="H29" s="33">
        <v>0</v>
      </c>
      <c r="I29" s="33">
        <f t="shared" si="0"/>
        <v>0</v>
      </c>
      <c r="J29" s="33">
        <v>0</v>
      </c>
      <c r="K29" s="33">
        <f t="shared" si="2"/>
        <v>0</v>
      </c>
      <c r="L29" s="33">
        <f t="shared" si="3"/>
        <v>-19250515.408050049</v>
      </c>
      <c r="M29" s="33">
        <f t="shared" si="4"/>
        <v>19250515.408050049</v>
      </c>
      <c r="N29" s="33">
        <f t="shared" si="6"/>
        <v>0</v>
      </c>
      <c r="O29" s="33">
        <f t="shared" si="1"/>
        <v>19250515.408050049</v>
      </c>
      <c r="P29" s="33">
        <f t="shared" si="5"/>
        <v>0</v>
      </c>
      <c r="Q29" s="69"/>
    </row>
    <row r="30" spans="2:17" x14ac:dyDescent="0.3">
      <c r="B30" s="32" t="s">
        <v>37</v>
      </c>
      <c r="C30" s="33">
        <f>SUMIF('Entrada CDRGL'!$E$8:$E$43,'Reliquidación CD RGL'!$B30,'Entrada CDRGL'!F$8:F$43)</f>
        <v>39354660.060000002</v>
      </c>
      <c r="D30" s="33">
        <f>SUMIF('Entrada CDRGL'!$E$8:$E$43,'Reliquidación CD RGL'!$B30,'Entrada CDRGL'!G$8:G$43)</f>
        <v>92812185.879999995</v>
      </c>
      <c r="E30" s="33">
        <f>SUMIF('Entrada CDRGL'!$E$8:$E$43,'Reliquidación CD RGL'!$B30,'Entrada CDRGL'!H$8:H$43)</f>
        <v>214538.76500000001</v>
      </c>
      <c r="F30" s="33">
        <f>SUMIF('Entrada CDRGL'!$E$8:$E$43,'Reliquidación CD RGL'!$B30,'Entrada CDRGL'!I$8:I$43)</f>
        <v>169489.5</v>
      </c>
      <c r="G30" s="33">
        <f>SUMIF('Entrada CDRGL'!$E$8:$E$43,'Reliquidación CD RGL'!$B30,'Entrada CDRGL'!J$8:J$43)</f>
        <v>-167154488.81963599</v>
      </c>
      <c r="H30" s="33">
        <v>0</v>
      </c>
      <c r="I30" s="33">
        <f t="shared" si="0"/>
        <v>0</v>
      </c>
      <c r="J30" s="33">
        <v>0</v>
      </c>
      <c r="K30" s="33">
        <f t="shared" si="2"/>
        <v>0</v>
      </c>
      <c r="L30" s="33">
        <f t="shared" si="3"/>
        <v>-167154488.81963599</v>
      </c>
      <c r="M30" s="33">
        <f t="shared" si="4"/>
        <v>167154488.81963599</v>
      </c>
      <c r="N30" s="33">
        <f t="shared" si="6"/>
        <v>0</v>
      </c>
      <c r="O30" s="33">
        <f t="shared" si="1"/>
        <v>167154488.81963599</v>
      </c>
      <c r="P30" s="33">
        <f t="shared" si="5"/>
        <v>0</v>
      </c>
      <c r="Q30" s="69"/>
    </row>
    <row r="31" spans="2:17" x14ac:dyDescent="0.3">
      <c r="B31" s="32" t="s">
        <v>38</v>
      </c>
      <c r="C31" s="33">
        <f>SUMIF('Entrada CDRGL'!$E$8:$E$43,'Reliquidación CD RGL'!$B31,'Entrada CDRGL'!F$8:F$43)</f>
        <v>1443824</v>
      </c>
      <c r="D31" s="33">
        <f>SUMIF('Entrada CDRGL'!$E$8:$E$43,'Reliquidación CD RGL'!$B31,'Entrada CDRGL'!G$8:G$43)</f>
        <v>3055711</v>
      </c>
      <c r="E31" s="33">
        <f>SUMIF('Entrada CDRGL'!$E$8:$E$43,'Reliquidación CD RGL'!$B31,'Entrada CDRGL'!H$8:H$43)</f>
        <v>43473</v>
      </c>
      <c r="F31" s="33">
        <f>SUMIF('Entrada CDRGL'!$E$8:$E$43,'Reliquidación CD RGL'!$B31,'Entrada CDRGL'!I$8:I$43)</f>
        <v>12997</v>
      </c>
      <c r="G31" s="33">
        <f>SUMIF('Entrada CDRGL'!$E$8:$E$43,'Reliquidación CD RGL'!$B31,'Entrada CDRGL'!J$8:J$43)</f>
        <v>3866788.6800604579</v>
      </c>
      <c r="H31" s="33">
        <v>3518487.5430734749</v>
      </c>
      <c r="I31" s="33">
        <f t="shared" si="0"/>
        <v>3525334.7526374217</v>
      </c>
      <c r="J31" s="33">
        <v>0</v>
      </c>
      <c r="K31" s="33">
        <f t="shared" si="2"/>
        <v>0</v>
      </c>
      <c r="L31" s="33">
        <f t="shared" si="3"/>
        <v>7392123.4326978792</v>
      </c>
      <c r="M31" s="33">
        <f t="shared" si="4"/>
        <v>0</v>
      </c>
      <c r="N31" s="33">
        <f t="shared" si="6"/>
        <v>7392123.4326978792</v>
      </c>
      <c r="O31" s="33">
        <f t="shared" si="1"/>
        <v>-3305741.6592374635</v>
      </c>
      <c r="P31" s="33">
        <f t="shared" si="5"/>
        <v>4086381.7734604157</v>
      </c>
      <c r="Q31" s="69"/>
    </row>
    <row r="32" spans="2:17" x14ac:dyDescent="0.3">
      <c r="B32" s="32" t="s">
        <v>39</v>
      </c>
      <c r="C32" s="33">
        <f>SUMIF('Entrada CDRGL'!$E$8:$E$43,'Reliquidación CD RGL'!$B32,'Entrada CDRGL'!F$8:F$43)</f>
        <v>36541776.799900003</v>
      </c>
      <c r="D32" s="33">
        <f>SUMIF('Entrada CDRGL'!$E$8:$E$43,'Reliquidación CD RGL'!$B32,'Entrada CDRGL'!G$8:G$43)</f>
        <v>128663570.79539999</v>
      </c>
      <c r="E32" s="33">
        <f>SUMIF('Entrada CDRGL'!$E$8:$E$43,'Reliquidación CD RGL'!$B32,'Entrada CDRGL'!H$8:H$43)</f>
        <v>2135002.7999999998</v>
      </c>
      <c r="F32" s="33">
        <f>SUMIF('Entrada CDRGL'!$E$8:$E$43,'Reliquidación CD RGL'!$B32,'Entrada CDRGL'!I$8:I$43)</f>
        <v>541320.1</v>
      </c>
      <c r="G32" s="33">
        <f>SUMIF('Entrada CDRGL'!$E$8:$E$43,'Reliquidación CD RGL'!$B32,'Entrada CDRGL'!J$8:J$43)</f>
        <v>-222482131.9481819</v>
      </c>
      <c r="H32" s="33">
        <v>0</v>
      </c>
      <c r="I32" s="33">
        <f t="shared" si="0"/>
        <v>0</v>
      </c>
      <c r="J32" s="33">
        <v>0</v>
      </c>
      <c r="K32" s="33">
        <f t="shared" si="2"/>
        <v>0</v>
      </c>
      <c r="L32" s="33">
        <f t="shared" si="3"/>
        <v>-222482131.9481819</v>
      </c>
      <c r="M32" s="33">
        <f t="shared" si="4"/>
        <v>222482131.9481819</v>
      </c>
      <c r="N32" s="33">
        <f t="shared" si="6"/>
        <v>0</v>
      </c>
      <c r="O32" s="33">
        <f t="shared" si="1"/>
        <v>222482131.9481819</v>
      </c>
      <c r="P32" s="33">
        <f t="shared" si="5"/>
        <v>0</v>
      </c>
      <c r="Q32" s="69"/>
    </row>
    <row r="33" spans="2:17" x14ac:dyDescent="0.3">
      <c r="B33" s="32" t="s">
        <v>40</v>
      </c>
      <c r="C33" s="33">
        <f>SUMIF('Entrada CDRGL'!$E$8:$E$43,'Reliquidación CD RGL'!$B33,'Entrada CDRGL'!F$8:F$43)</f>
        <v>1475178.1</v>
      </c>
      <c r="D33" s="33">
        <f>SUMIF('Entrada CDRGL'!$E$8:$E$43,'Reliquidación CD RGL'!$B33,'Entrada CDRGL'!G$8:G$43)</f>
        <v>2100617</v>
      </c>
      <c r="E33" s="33">
        <f>SUMIF('Entrada CDRGL'!$E$8:$E$43,'Reliquidación CD RGL'!$B33,'Entrada CDRGL'!H$8:H$43)</f>
        <v>44500</v>
      </c>
      <c r="F33" s="33">
        <f>SUMIF('Entrada CDRGL'!$E$8:$E$43,'Reliquidación CD RGL'!$B33,'Entrada CDRGL'!I$8:I$43)</f>
        <v>101631</v>
      </c>
      <c r="G33" s="33">
        <f>SUMIF('Entrada CDRGL'!$E$8:$E$43,'Reliquidación CD RGL'!$B33,'Entrada CDRGL'!J$8:J$43)</f>
        <v>5475589.3929636925</v>
      </c>
      <c r="H33" s="33">
        <v>5904170.948552913</v>
      </c>
      <c r="I33" s="33">
        <f t="shared" si="0"/>
        <v>5915660.8558756467</v>
      </c>
      <c r="J33" s="33">
        <v>0</v>
      </c>
      <c r="K33" s="33">
        <f t="shared" si="2"/>
        <v>0</v>
      </c>
      <c r="L33" s="33">
        <f t="shared" si="3"/>
        <v>11391250.248839339</v>
      </c>
      <c r="M33" s="33">
        <f t="shared" si="4"/>
        <v>0</v>
      </c>
      <c r="N33" s="33">
        <f t="shared" si="6"/>
        <v>11391250.248839339</v>
      </c>
      <c r="O33" s="33">
        <f t="shared" si="1"/>
        <v>-5094142.5479747364</v>
      </c>
      <c r="P33" s="33">
        <f t="shared" si="5"/>
        <v>6297107.7008646028</v>
      </c>
      <c r="Q33" s="69"/>
    </row>
    <row r="34" spans="2:17" x14ac:dyDescent="0.3">
      <c r="B34" s="32" t="s">
        <v>41</v>
      </c>
      <c r="C34" s="33">
        <f>SUMIF('Entrada CDRGL'!$E$8:$E$43,'Reliquidación CD RGL'!$B34,'Entrada CDRGL'!F$8:F$43)</f>
        <v>1194031.6000000001</v>
      </c>
      <c r="D34" s="33">
        <f>SUMIF('Entrada CDRGL'!$E$8:$E$43,'Reliquidación CD RGL'!$B34,'Entrada CDRGL'!G$8:G$43)</f>
        <v>8896470.5328899994</v>
      </c>
      <c r="E34" s="33">
        <f>SUMIF('Entrada CDRGL'!$E$8:$E$43,'Reliquidación CD RGL'!$B34,'Entrada CDRGL'!H$8:H$43)</f>
        <v>4586</v>
      </c>
      <c r="F34" s="33">
        <f>SUMIF('Entrada CDRGL'!$E$8:$E$43,'Reliquidación CD RGL'!$B34,'Entrada CDRGL'!I$8:I$43)</f>
        <v>29757</v>
      </c>
      <c r="G34" s="33">
        <f>SUMIF('Entrada CDRGL'!$E$8:$E$43,'Reliquidación CD RGL'!$B34,'Entrada CDRGL'!J$8:J$43)</f>
        <v>15942951.29585363</v>
      </c>
      <c r="H34" s="33">
        <v>14592440.55679067</v>
      </c>
      <c r="I34" s="33">
        <f t="shared" si="0"/>
        <v>14620838.411641253</v>
      </c>
      <c r="J34" s="33">
        <v>0</v>
      </c>
      <c r="K34" s="33">
        <f t="shared" si="2"/>
        <v>0</v>
      </c>
      <c r="L34" s="33">
        <f t="shared" si="3"/>
        <v>30563789.707494885</v>
      </c>
      <c r="M34" s="33">
        <f t="shared" si="4"/>
        <v>0</v>
      </c>
      <c r="N34" s="33">
        <f t="shared" si="6"/>
        <v>30563789.707494885</v>
      </c>
      <c r="O34" s="33">
        <f t="shared" si="1"/>
        <v>-13668060.851544017</v>
      </c>
      <c r="P34" s="33">
        <f t="shared" si="5"/>
        <v>16895728.85595087</v>
      </c>
      <c r="Q34" s="69"/>
    </row>
    <row r="35" spans="2:17" x14ac:dyDescent="0.3">
      <c r="B35" s="32" t="s">
        <v>42</v>
      </c>
      <c r="C35" s="33">
        <f>SUMIF('Entrada CDRGL'!$E$8:$E$43,'Reliquidación CD RGL'!$B35,'Entrada CDRGL'!F$8:F$43)</f>
        <v>1197237</v>
      </c>
      <c r="D35" s="33">
        <f>SUMIF('Entrada CDRGL'!$E$8:$E$43,'Reliquidación CD RGL'!$B35,'Entrada CDRGL'!G$8:G$43)</f>
        <v>6485116.0861</v>
      </c>
      <c r="E35" s="33">
        <f>SUMIF('Entrada CDRGL'!$E$8:$E$43,'Reliquidación CD RGL'!$B35,'Entrada CDRGL'!H$8:H$43)</f>
        <v>208213</v>
      </c>
      <c r="F35" s="33">
        <f>SUMIF('Entrada CDRGL'!$E$8:$E$43,'Reliquidación CD RGL'!$B35,'Entrada CDRGL'!I$8:I$43)</f>
        <v>24801</v>
      </c>
      <c r="G35" s="33">
        <f>SUMIF('Entrada CDRGL'!$E$8:$E$43,'Reliquidación CD RGL'!$B35,'Entrada CDRGL'!J$8:J$43)</f>
        <v>-40232614.807550572</v>
      </c>
      <c r="H35" s="33">
        <v>0</v>
      </c>
      <c r="I35" s="33">
        <f t="shared" si="0"/>
        <v>0</v>
      </c>
      <c r="J35" s="33">
        <v>0</v>
      </c>
      <c r="K35" s="33">
        <f t="shared" si="2"/>
        <v>0</v>
      </c>
      <c r="L35" s="33">
        <f t="shared" si="3"/>
        <v>-40232614.807550572</v>
      </c>
      <c r="M35" s="33">
        <f t="shared" si="4"/>
        <v>40232614.807550572</v>
      </c>
      <c r="N35" s="33">
        <f t="shared" si="6"/>
        <v>0</v>
      </c>
      <c r="O35" s="33">
        <f t="shared" si="1"/>
        <v>40232614.807550572</v>
      </c>
      <c r="P35" s="33">
        <f t="shared" si="5"/>
        <v>0</v>
      </c>
      <c r="Q35" s="69"/>
    </row>
    <row r="36" spans="2:17" x14ac:dyDescent="0.3">
      <c r="B36" s="32" t="s">
        <v>43</v>
      </c>
      <c r="C36" s="33">
        <f>SUMIF('Entrada CDRGL'!$E$8:$E$43,'Reliquidación CD RGL'!$B36,'Entrada CDRGL'!F$8:F$43)</f>
        <v>1872112.5</v>
      </c>
      <c r="D36" s="33">
        <f>SUMIF('Entrada CDRGL'!$E$8:$E$43,'Reliquidación CD RGL'!$B36,'Entrada CDRGL'!G$8:G$43)</f>
        <v>4353240.0689000003</v>
      </c>
      <c r="E36" s="33">
        <f>SUMIF('Entrada CDRGL'!$E$8:$E$43,'Reliquidación CD RGL'!$B36,'Entrada CDRGL'!H$8:H$43)</f>
        <v>668120.6</v>
      </c>
      <c r="F36" s="33">
        <f>SUMIF('Entrada CDRGL'!$E$8:$E$43,'Reliquidación CD RGL'!$B36,'Entrada CDRGL'!I$8:I$43)</f>
        <v>58921.3</v>
      </c>
      <c r="G36" s="33">
        <f>SUMIF('Entrada CDRGL'!$E$8:$E$43,'Reliquidación CD RGL'!$B36,'Entrada CDRGL'!J$8:J$43)</f>
        <v>7787625.24974286</v>
      </c>
      <c r="H36" s="33">
        <v>12844421.7971595</v>
      </c>
      <c r="I36" s="33">
        <f t="shared" si="0"/>
        <v>12869417.891843995</v>
      </c>
      <c r="J36" s="33">
        <v>0</v>
      </c>
      <c r="K36" s="33">
        <f t="shared" si="2"/>
        <v>0</v>
      </c>
      <c r="L36" s="33">
        <f t="shared" si="3"/>
        <v>20657043.141586855</v>
      </c>
      <c r="M36" s="33">
        <f t="shared" si="4"/>
        <v>0</v>
      </c>
      <c r="N36" s="33">
        <f t="shared" si="6"/>
        <v>20657043.141586855</v>
      </c>
      <c r="O36" s="33">
        <f t="shared" si="1"/>
        <v>-9237785.1494948268</v>
      </c>
      <c r="P36" s="33">
        <f t="shared" si="5"/>
        <v>11419257.992092028</v>
      </c>
      <c r="Q36" s="69"/>
    </row>
    <row r="37" spans="2:17" x14ac:dyDescent="0.3">
      <c r="B37" s="32" t="s">
        <v>45</v>
      </c>
      <c r="C37" s="33">
        <f>SUMIF('Entrada CDRGL'!$E$8:$E$43,'Reliquidación CD RGL'!$B37,'Entrada CDRGL'!F$8:F$43)</f>
        <v>461393</v>
      </c>
      <c r="D37" s="33">
        <f>SUMIF('Entrada CDRGL'!$E$8:$E$43,'Reliquidación CD RGL'!$B37,'Entrada CDRGL'!G$8:G$43)</f>
        <v>822365</v>
      </c>
      <c r="E37" s="33">
        <f>SUMIF('Entrada CDRGL'!$E$8:$E$43,'Reliquidación CD RGL'!$B37,'Entrada CDRGL'!H$8:H$43)</f>
        <v>35744</v>
      </c>
      <c r="F37" s="33">
        <f>SUMIF('Entrada CDRGL'!$E$8:$E$43,'Reliquidación CD RGL'!$B37,'Entrada CDRGL'!I$8:I$43)</f>
        <v>10574</v>
      </c>
      <c r="G37" s="33">
        <f>SUMIF('Entrada CDRGL'!$E$8:$E$43,'Reliquidación CD RGL'!$B37,'Entrada CDRGL'!J$8:J$43)</f>
        <v>-11058114.468234571</v>
      </c>
      <c r="H37" s="33">
        <v>0</v>
      </c>
      <c r="I37" s="33">
        <f t="shared" si="0"/>
        <v>0</v>
      </c>
      <c r="J37" s="33">
        <v>0</v>
      </c>
      <c r="K37" s="33">
        <f t="shared" si="2"/>
        <v>0</v>
      </c>
      <c r="L37" s="33">
        <f t="shared" si="3"/>
        <v>-11058114.468234571</v>
      </c>
      <c r="M37" s="33">
        <f t="shared" si="4"/>
        <v>11058114.468234571</v>
      </c>
      <c r="N37" s="33">
        <f t="shared" si="6"/>
        <v>0</v>
      </c>
      <c r="O37" s="33">
        <f t="shared" si="1"/>
        <v>11058114.468234571</v>
      </c>
      <c r="P37" s="33">
        <f t="shared" si="5"/>
        <v>0</v>
      </c>
      <c r="Q37" s="69"/>
    </row>
    <row r="38" spans="2:17" x14ac:dyDescent="0.3">
      <c r="B38" s="32" t="s">
        <v>46</v>
      </c>
      <c r="C38" s="33">
        <f>SUMIF('Entrada CDRGL'!$E$8:$E$43,'Reliquidación CD RGL'!$B38,'Entrada CDRGL'!F$8:F$43)</f>
        <v>3961195.628</v>
      </c>
      <c r="D38" s="33">
        <f>SUMIF('Entrada CDRGL'!$E$8:$E$43,'Reliquidación CD RGL'!$B38,'Entrada CDRGL'!G$8:G$43)</f>
        <v>16909394.219999999</v>
      </c>
      <c r="E38" s="33">
        <f>SUMIF('Entrada CDRGL'!$E$8:$E$43,'Reliquidación CD RGL'!$B38,'Entrada CDRGL'!H$8:H$43)</f>
        <v>23031</v>
      </c>
      <c r="F38" s="33">
        <f>SUMIF('Entrada CDRGL'!$E$8:$E$43,'Reliquidación CD RGL'!$B38,'Entrada CDRGL'!I$8:I$43)</f>
        <v>27201.012999999999</v>
      </c>
      <c r="G38" s="33">
        <f>SUMIF('Entrada CDRGL'!$E$8:$E$43,'Reliquidación CD RGL'!$B38,'Entrada CDRGL'!J$8:J$43)</f>
        <v>31233457.804681592</v>
      </c>
      <c r="H38" s="33">
        <v>28261671.709952015</v>
      </c>
      <c r="I38" s="33">
        <f t="shared" si="0"/>
        <v>28316670.793068413</v>
      </c>
      <c r="J38" s="33">
        <v>0</v>
      </c>
      <c r="K38" s="33">
        <f t="shared" si="2"/>
        <v>0</v>
      </c>
      <c r="L38" s="33">
        <f t="shared" si="3"/>
        <v>59550128.597750008</v>
      </c>
      <c r="M38" s="33">
        <f>IF(L38&lt;0,-L38,0)</f>
        <v>0</v>
      </c>
      <c r="N38" s="33">
        <f>IF(L38&gt;0,L38,0)</f>
        <v>59550128.597750008</v>
      </c>
      <c r="O38" s="33">
        <f t="shared" si="1"/>
        <v>-26630689.099124532</v>
      </c>
      <c r="P38" s="33">
        <f t="shared" si="5"/>
        <v>32919439.498625476</v>
      </c>
      <c r="Q38" s="69"/>
    </row>
    <row r="39" spans="2:17" x14ac:dyDescent="0.3">
      <c r="B39" s="32" t="s">
        <v>47</v>
      </c>
      <c r="C39" s="33">
        <f>SUMIF('Entrada CDRGL'!$E$8:$E$43,'Reliquidación CD RGL'!$B39,'Entrada CDRGL'!F$8:F$43)</f>
        <v>6290359.4550000001</v>
      </c>
      <c r="D39" s="33">
        <f>SUMIF('Entrada CDRGL'!$E$8:$E$43,'Reliquidación CD RGL'!$B39,'Entrada CDRGL'!G$8:G$43)</f>
        <v>26313027.732999999</v>
      </c>
      <c r="E39" s="33">
        <f>SUMIF('Entrada CDRGL'!$E$8:$E$43,'Reliquidación CD RGL'!$B39,'Entrada CDRGL'!H$8:H$43)</f>
        <v>21082.98</v>
      </c>
      <c r="F39" s="33">
        <f>SUMIF('Entrada CDRGL'!$E$8:$E$43,'Reliquidación CD RGL'!$B39,'Entrada CDRGL'!I$8:I$43)</f>
        <v>13251.951999999999</v>
      </c>
      <c r="G39" s="33">
        <f>SUMIF('Entrada CDRGL'!$E$8:$E$43,'Reliquidación CD RGL'!$B39,'Entrada CDRGL'!J$8:J$43)</f>
        <v>-83988828.964677677</v>
      </c>
      <c r="H39" s="33">
        <v>0</v>
      </c>
      <c r="I39" s="33">
        <f t="shared" si="0"/>
        <v>0</v>
      </c>
      <c r="J39" s="33">
        <v>0</v>
      </c>
      <c r="K39" s="33">
        <f t="shared" si="2"/>
        <v>0</v>
      </c>
      <c r="L39" s="33">
        <f t="shared" si="3"/>
        <v>-83988828.964677677</v>
      </c>
      <c r="M39" s="33">
        <f t="shared" si="4"/>
        <v>83988828.964677677</v>
      </c>
      <c r="N39" s="33">
        <f t="shared" si="6"/>
        <v>0</v>
      </c>
      <c r="O39" s="33">
        <f t="shared" si="1"/>
        <v>83988828.964677677</v>
      </c>
      <c r="P39" s="33">
        <f t="shared" si="5"/>
        <v>0</v>
      </c>
      <c r="Q39" s="69"/>
    </row>
    <row r="40" spans="2:17" x14ac:dyDescent="0.3">
      <c r="B40" s="32" t="s">
        <v>48</v>
      </c>
      <c r="C40" s="33">
        <f>SUMIF('Entrada CDRGL'!$E$8:$E$43,'Reliquidación CD RGL'!$B40,'Entrada CDRGL'!F$8:F$43)</f>
        <v>14002507.805</v>
      </c>
      <c r="D40" s="33">
        <f>SUMIF('Entrada CDRGL'!$E$8:$E$43,'Reliquidación CD RGL'!$B40,'Entrada CDRGL'!G$8:G$43)</f>
        <v>49466280.186999999</v>
      </c>
      <c r="E40" s="33">
        <f>SUMIF('Entrada CDRGL'!$E$8:$E$43,'Reliquidación CD RGL'!$B40,'Entrada CDRGL'!H$8:H$43)</f>
        <v>77651.819999999992</v>
      </c>
      <c r="F40" s="33">
        <f>SUMIF('Entrada CDRGL'!$E$8:$E$43,'Reliquidación CD RGL'!$B40,'Entrada CDRGL'!I$8:I$43)</f>
        <v>49683.195</v>
      </c>
      <c r="G40" s="33">
        <f>SUMIF('Entrada CDRGL'!$E$8:$E$43,'Reliquidación CD RGL'!$B40,'Entrada CDRGL'!J$8:J$43)</f>
        <v>-179707255.09765211</v>
      </c>
      <c r="H40" s="33">
        <v>0</v>
      </c>
      <c r="I40" s="33">
        <f t="shared" si="0"/>
        <v>0</v>
      </c>
      <c r="J40" s="33">
        <v>0</v>
      </c>
      <c r="K40" s="33">
        <f t="shared" si="2"/>
        <v>0</v>
      </c>
      <c r="L40" s="33">
        <f t="shared" si="3"/>
        <v>-179707255.09765211</v>
      </c>
      <c r="M40" s="33">
        <f t="shared" si="4"/>
        <v>179707255.09765211</v>
      </c>
      <c r="N40" s="33">
        <f t="shared" si="6"/>
        <v>0</v>
      </c>
      <c r="O40" s="33">
        <f t="shared" si="1"/>
        <v>179707255.09765211</v>
      </c>
      <c r="P40" s="33">
        <f t="shared" si="5"/>
        <v>0</v>
      </c>
      <c r="Q40" s="69"/>
    </row>
    <row r="41" spans="2:17" x14ac:dyDescent="0.3">
      <c r="B41" s="32" t="s">
        <v>49</v>
      </c>
      <c r="C41" s="33">
        <f>SUMIF('Entrada CDRGL'!$E$8:$E$43,'Reliquidación CD RGL'!$B41,'Entrada CDRGL'!F$8:F$43)</f>
        <v>0</v>
      </c>
      <c r="D41" s="33">
        <f>SUMIF('Entrada CDRGL'!$E$8:$E$43,'Reliquidación CD RGL'!$B41,'Entrada CDRGL'!G$8:G$43)</f>
        <v>0</v>
      </c>
      <c r="E41" s="33">
        <f>SUMIF('Entrada CDRGL'!$E$8:$E$43,'Reliquidación CD RGL'!$B41,'Entrada CDRGL'!H$8:H$43)</f>
        <v>0</v>
      </c>
      <c r="F41" s="33">
        <f>SUMIF('Entrada CDRGL'!$E$8:$E$43,'Reliquidación CD RGL'!$B41,'Entrada CDRGL'!I$8:I$43)</f>
        <v>0</v>
      </c>
      <c r="G41" s="33">
        <f>SUMIF('Entrada CDRGL'!$E$8:$E$43,'Reliquidación CD RGL'!$B41,'Entrada CDRGL'!J$8:J$43)</f>
        <v>0</v>
      </c>
      <c r="H41" s="33">
        <v>0</v>
      </c>
      <c r="I41" s="33">
        <f t="shared" si="0"/>
        <v>0</v>
      </c>
      <c r="J41" s="33">
        <v>0</v>
      </c>
      <c r="K41" s="33">
        <f t="shared" si="2"/>
        <v>0</v>
      </c>
      <c r="L41" s="33">
        <f t="shared" si="3"/>
        <v>0</v>
      </c>
      <c r="M41" s="33">
        <f>IF(L41&lt;0,-L41,0)</f>
        <v>0</v>
      </c>
      <c r="N41" s="33">
        <f>IF(L41&gt;0,L41,0)</f>
        <v>0</v>
      </c>
      <c r="O41" s="33">
        <f t="shared" si="1"/>
        <v>0</v>
      </c>
      <c r="P41" s="33">
        <f>L41+O41</f>
        <v>0</v>
      </c>
      <c r="Q41" s="69"/>
    </row>
    <row r="42" spans="2:17" x14ac:dyDescent="0.3">
      <c r="B42" s="32" t="s">
        <v>50</v>
      </c>
      <c r="C42" s="33">
        <f>SUMIF('Entrada CDRGL'!$E$8:$E$43,'Reliquidación CD RGL'!$B42,'Entrada CDRGL'!F$8:F$43)</f>
        <v>0</v>
      </c>
      <c r="D42" s="33">
        <f>SUMIF('Entrada CDRGL'!$E$8:$E$43,'Reliquidación CD RGL'!$B42,'Entrada CDRGL'!G$8:G$43)</f>
        <v>14290</v>
      </c>
      <c r="E42" s="33">
        <f>SUMIF('Entrada CDRGL'!$E$8:$E$43,'Reliquidación CD RGL'!$B42,'Entrada CDRGL'!H$8:H$43)</f>
        <v>0</v>
      </c>
      <c r="F42" s="33">
        <f>SUMIF('Entrada CDRGL'!$E$8:$E$43,'Reliquidación CD RGL'!$B42,'Entrada CDRGL'!I$8:I$43)</f>
        <v>0</v>
      </c>
      <c r="G42" s="33">
        <f>SUMIF('Entrada CDRGL'!$E$8:$E$43,'Reliquidación CD RGL'!$B42,'Entrada CDRGL'!J$8:J$43)</f>
        <v>0</v>
      </c>
      <c r="H42" s="33">
        <v>0</v>
      </c>
      <c r="I42" s="33">
        <f t="shared" si="0"/>
        <v>0</v>
      </c>
      <c r="J42" s="33">
        <v>0</v>
      </c>
      <c r="K42" s="33">
        <f t="shared" si="2"/>
        <v>0</v>
      </c>
      <c r="L42" s="33">
        <f t="shared" si="3"/>
        <v>0</v>
      </c>
      <c r="M42" s="33">
        <f>IF(L42&lt;0,-L42,0)</f>
        <v>0</v>
      </c>
      <c r="N42" s="33">
        <f>IF(L42&gt;0,L42,0)</f>
        <v>0</v>
      </c>
      <c r="O42" s="33">
        <f t="shared" si="1"/>
        <v>0</v>
      </c>
      <c r="P42" s="33">
        <f>L42+O42</f>
        <v>0</v>
      </c>
      <c r="Q42" s="69"/>
    </row>
    <row r="43" spans="2:17" x14ac:dyDescent="0.3">
      <c r="B43" s="34" t="s">
        <v>51</v>
      </c>
      <c r="C43" s="35">
        <f>SUMIF('Entrada CDRGL'!$E$8:$E$43,'Reliquidación CD RGL'!$B43,'Entrada CDRGL'!F$8:F$43)</f>
        <v>32785.800000000003</v>
      </c>
      <c r="D43" s="35">
        <f>SUMIF('Entrada CDRGL'!$E$8:$E$43,'Reliquidación CD RGL'!$B43,'Entrada CDRGL'!G$8:G$43)</f>
        <v>63849.399999999987</v>
      </c>
      <c r="E43" s="35">
        <f>SUMIF('Entrada CDRGL'!$E$8:$E$43,'Reliquidación CD RGL'!$B43,'Entrada CDRGL'!H$8:H$43)</f>
        <v>0</v>
      </c>
      <c r="F43" s="35">
        <f>SUMIF('Entrada CDRGL'!$E$8:$E$43,'Reliquidación CD RGL'!$B43,'Entrada CDRGL'!I$8:I$43)</f>
        <v>0</v>
      </c>
      <c r="G43" s="35">
        <f>SUMIF('Entrada CDRGL'!$E$8:$E$43,'Reliquidación CD RGL'!$B43,'Entrada CDRGL'!J$8:J$43)</f>
        <v>-2286363.255466803</v>
      </c>
      <c r="H43" s="35">
        <v>0</v>
      </c>
      <c r="I43" s="35">
        <f t="shared" si="0"/>
        <v>0</v>
      </c>
      <c r="J43" s="35">
        <v>0</v>
      </c>
      <c r="K43" s="35">
        <f t="shared" si="2"/>
        <v>0</v>
      </c>
      <c r="L43" s="35">
        <f t="shared" si="3"/>
        <v>-2286363.255466803</v>
      </c>
      <c r="M43" s="35">
        <f t="shared" si="4"/>
        <v>2286363.255466803</v>
      </c>
      <c r="N43" s="35">
        <f t="shared" si="6"/>
        <v>0</v>
      </c>
      <c r="O43" s="35">
        <f>IF(OR($M$44=0,$N$44=0),0,((M43/$M$44-N43/$N$44)*$N$49))</f>
        <v>2286363.255466803</v>
      </c>
      <c r="P43" s="35">
        <f t="shared" si="5"/>
        <v>0</v>
      </c>
      <c r="Q43" s="69"/>
    </row>
    <row r="44" spans="2:17" x14ac:dyDescent="0.3">
      <c r="B44" s="36" t="s">
        <v>66</v>
      </c>
      <c r="C44" s="13">
        <f t="shared" ref="C44:O44" si="7">SUM(C9:C43)</f>
        <v>444233908.87722719</v>
      </c>
      <c r="D44" s="13">
        <f t="shared" si="7"/>
        <v>1573315263.2707455</v>
      </c>
      <c r="E44" s="13">
        <f t="shared" si="7"/>
        <v>13592691.643000001</v>
      </c>
      <c r="F44" s="13">
        <f t="shared" si="7"/>
        <v>4248187.83</v>
      </c>
      <c r="G44" s="13">
        <f t="shared" si="7"/>
        <v>200491819.07563955</v>
      </c>
      <c r="H44" s="13">
        <f t="shared" si="7"/>
        <v>1094870537.6357424</v>
      </c>
      <c r="I44" s="13">
        <f>SUM(I9:I43)</f>
        <v>1097001228.1454587</v>
      </c>
      <c r="J44" s="13">
        <f t="shared" ref="J44:K44" si="8">SUM(J9:J43)</f>
        <v>0</v>
      </c>
      <c r="K44" s="13">
        <f t="shared" si="8"/>
        <v>0</v>
      </c>
      <c r="L44" s="13">
        <f>SUM(L9:L43)</f>
        <v>1297493047.2210987</v>
      </c>
      <c r="M44" s="13">
        <f t="shared" si="7"/>
        <v>1049627043.3238549</v>
      </c>
      <c r="N44" s="13">
        <f t="shared" si="7"/>
        <v>2347120090.5449533</v>
      </c>
      <c r="O44" s="13">
        <f t="shared" si="7"/>
        <v>7.3574483394622803E-8</v>
      </c>
      <c r="P44" s="13">
        <f>SUM(P9:P43)</f>
        <v>1297493047.2210984</v>
      </c>
    </row>
    <row r="45" spans="2:17" x14ac:dyDescent="0.3">
      <c r="B45" s="40"/>
      <c r="C45"/>
      <c r="D45"/>
      <c r="E45"/>
      <c r="F45"/>
      <c r="G45"/>
      <c r="H45"/>
      <c r="I45"/>
      <c r="J45"/>
      <c r="K45"/>
      <c r="L45"/>
      <c r="M45" s="41"/>
      <c r="N45" s="41"/>
      <c r="O45"/>
    </row>
    <row r="46" spans="2:17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7" x14ac:dyDescent="0.3">
      <c r="B47"/>
      <c r="C47"/>
      <c r="H47" s="48"/>
      <c r="I47" s="14"/>
      <c r="J47" s="14"/>
      <c r="K47" s="14"/>
      <c r="L47" s="14"/>
      <c r="M47" s="4" t="s">
        <v>91</v>
      </c>
      <c r="N47" s="43">
        <f>N44</f>
        <v>2347120090.5449533</v>
      </c>
      <c r="O47"/>
    </row>
    <row r="48" spans="2:17" x14ac:dyDescent="0.3">
      <c r="B48"/>
      <c r="C48"/>
      <c r="H48" s="42"/>
      <c r="I48" s="14"/>
      <c r="J48" s="14"/>
      <c r="K48" s="14"/>
      <c r="L48" s="14"/>
      <c r="M48" s="4" t="s">
        <v>92</v>
      </c>
      <c r="N48" s="43">
        <f>M44</f>
        <v>1049627043.3238549</v>
      </c>
      <c r="O48"/>
    </row>
    <row r="49" spans="2:16" x14ac:dyDescent="0.3">
      <c r="B49"/>
      <c r="C49"/>
      <c r="H49" s="42"/>
      <c r="I49"/>
      <c r="J49"/>
      <c r="K49"/>
      <c r="L49"/>
      <c r="M49" s="4" t="s">
        <v>69</v>
      </c>
      <c r="N49" s="43">
        <f>+IF(N48&lt;N47,N48,N47)</f>
        <v>1049627043.3238549</v>
      </c>
      <c r="O49"/>
      <c r="P49" s="44"/>
    </row>
    <row r="50" spans="2:16" x14ac:dyDescent="0.3">
      <c r="M50" s="14"/>
      <c r="N50"/>
    </row>
    <row r="51" spans="2:16" x14ac:dyDescent="0.3">
      <c r="G51" s="44"/>
      <c r="H51" s="44"/>
    </row>
    <row r="52" spans="2:16" x14ac:dyDescent="0.3">
      <c r="H52" s="8"/>
    </row>
  </sheetData>
  <dataConsolidate/>
  <mergeCells count="15">
    <mergeCell ref="G6:G7"/>
    <mergeCell ref="B6:B8"/>
    <mergeCell ref="C6:C7"/>
    <mergeCell ref="D6:D7"/>
    <mergeCell ref="E6:E7"/>
    <mergeCell ref="F6:F7"/>
    <mergeCell ref="N6:N7"/>
    <mergeCell ref="O6:O7"/>
    <mergeCell ref="P6:P7"/>
    <mergeCell ref="H6:H7"/>
    <mergeCell ref="I6:I7"/>
    <mergeCell ref="J6:J7"/>
    <mergeCell ref="K6:K7"/>
    <mergeCell ref="L6:L7"/>
    <mergeCell ref="M6:M7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0243E-1EA2-4C0F-B41E-2297D31C28BA}">
  <sheetPr codeName="Hoja2">
    <tabColor theme="9" tint="0.59999389629810485"/>
  </sheetPr>
  <dimension ref="A2:U81"/>
  <sheetViews>
    <sheetView topLeftCell="A20" zoomScale="60" zoomScaleNormal="60" workbookViewId="0">
      <selection activeCell="M23" sqref="M23"/>
    </sheetView>
  </sheetViews>
  <sheetFormatPr baseColWidth="10" defaultColWidth="11.3984375" defaultRowHeight="13" x14ac:dyDescent="0.3"/>
  <cols>
    <col min="1" max="1" width="9.09765625" style="70" customWidth="1"/>
    <col min="2" max="2" width="28" style="70" customWidth="1"/>
    <col min="3" max="3" width="17" style="70" customWidth="1"/>
    <col min="4" max="4" width="18.69921875" style="70" customWidth="1"/>
    <col min="5" max="5" width="20" style="70" customWidth="1"/>
    <col min="6" max="6" width="21.8984375" style="70" customWidth="1"/>
    <col min="7" max="7" width="18.09765625" style="70" customWidth="1"/>
    <col min="8" max="8" width="14.59765625" style="70" customWidth="1"/>
    <col min="9" max="9" width="21.3984375" style="70" customWidth="1"/>
    <col min="10" max="10" width="17.3984375" style="70" customWidth="1"/>
    <col min="11" max="11" width="16" style="70" bestFit="1" customWidth="1"/>
    <col min="12" max="12" width="15.296875" style="70" bestFit="1" customWidth="1"/>
    <col min="13" max="13" width="15.3984375" style="70" bestFit="1" customWidth="1"/>
    <col min="14" max="15" width="18.69921875" style="70" customWidth="1"/>
    <col min="16" max="16" width="15.296875" style="70" bestFit="1" customWidth="1"/>
    <col min="17" max="17" width="14" style="70" bestFit="1" customWidth="1"/>
    <col min="18" max="22" width="10.8984375" style="70" customWidth="1"/>
    <col min="23" max="23" width="13.296875" style="70" bestFit="1" customWidth="1"/>
    <col min="24" max="24" width="15.8984375" style="70" bestFit="1" customWidth="1"/>
    <col min="25" max="25" width="17" style="70" bestFit="1" customWidth="1"/>
    <col min="26" max="26" width="17.8984375" style="70" customWidth="1"/>
    <col min="27" max="16384" width="11.3984375" style="70"/>
  </cols>
  <sheetData>
    <row r="2" spans="1:11" x14ac:dyDescent="0.3">
      <c r="B2" s="71" t="s">
        <v>93</v>
      </c>
      <c r="C2" s="71"/>
      <c r="D2" s="71"/>
      <c r="E2" s="71"/>
      <c r="F2" s="71"/>
      <c r="G2" s="71"/>
      <c r="H2" s="71"/>
      <c r="J2" s="40" t="s">
        <v>94</v>
      </c>
      <c r="K2" s="40"/>
    </row>
    <row r="3" spans="1:11" x14ac:dyDescent="0.3">
      <c r="B3" s="72">
        <f>FechaFacturacion</f>
        <v>45778</v>
      </c>
      <c r="C3" s="73"/>
      <c r="D3" s="73"/>
      <c r="E3" s="73"/>
      <c r="F3" s="73"/>
      <c r="G3" s="73"/>
      <c r="H3" s="73"/>
    </row>
    <row r="6" spans="1:11" ht="12.75" customHeight="1" x14ac:dyDescent="0.3">
      <c r="B6" s="124" t="s">
        <v>6</v>
      </c>
      <c r="C6" s="125" t="s">
        <v>78</v>
      </c>
      <c r="E6" s="124" t="s">
        <v>6</v>
      </c>
      <c r="F6" s="105" t="s">
        <v>79</v>
      </c>
      <c r="G6" s="125" t="s">
        <v>80</v>
      </c>
      <c r="I6" s="124" t="s">
        <v>81</v>
      </c>
      <c r="J6" s="117" cm="1">
        <f t="array" ref="J6">SUMPRODUCT(($G$8:$G$32&gt;0)*($G$8:$G$32))</f>
        <v>860670697.96513581</v>
      </c>
      <c r="K6" s="74"/>
    </row>
    <row r="7" spans="1:11" ht="27" customHeight="1" x14ac:dyDescent="0.3">
      <c r="B7" s="124"/>
      <c r="C7" s="126"/>
      <c r="E7" s="124"/>
      <c r="F7" s="106"/>
      <c r="G7" s="126"/>
      <c r="I7" s="124"/>
      <c r="J7" s="117"/>
      <c r="K7" s="74"/>
    </row>
    <row r="8" spans="1:11" x14ac:dyDescent="0.3">
      <c r="B8" s="75" t="s">
        <v>14</v>
      </c>
      <c r="C8" s="76">
        <f>'Reliquidación CD RGL'!O9</f>
        <v>189593.24317377759</v>
      </c>
      <c r="D8" s="77"/>
      <c r="E8" s="75" t="s">
        <v>14</v>
      </c>
      <c r="F8" s="78">
        <v>0</v>
      </c>
      <c r="G8" s="78">
        <f>VLOOKUP(E8,$B$8:$C$42,2,0)+F8</f>
        <v>189593.24317377759</v>
      </c>
      <c r="H8" s="79"/>
      <c r="J8" s="40"/>
      <c r="K8" s="40"/>
    </row>
    <row r="9" spans="1:11" x14ac:dyDescent="0.3">
      <c r="B9" s="80" t="s">
        <v>15</v>
      </c>
      <c r="C9" s="78">
        <f>'Reliquidación CD RGL'!O10</f>
        <v>17821412.238799401</v>
      </c>
      <c r="D9" s="77"/>
      <c r="E9" s="80" t="s">
        <v>15</v>
      </c>
      <c r="F9" s="78">
        <v>0</v>
      </c>
      <c r="G9" s="78">
        <f>VLOOKUP(E9,$B$8:$C$42,2,0)+F9</f>
        <v>17821412.238799401</v>
      </c>
      <c r="H9" s="79"/>
      <c r="J9" s="40"/>
      <c r="K9" s="40"/>
    </row>
    <row r="10" spans="1:11" x14ac:dyDescent="0.3">
      <c r="B10" s="80" t="s">
        <v>16</v>
      </c>
      <c r="C10" s="78">
        <f>'Reliquidación CD RGL'!O11</f>
        <v>-12461684.093798069</v>
      </c>
      <c r="D10" s="77"/>
      <c r="E10" s="80" t="s">
        <v>16</v>
      </c>
      <c r="F10" s="78">
        <v>0</v>
      </c>
      <c r="G10" s="78">
        <f>VLOOKUP(E10,$B$8:$C$42,2,0)+F10</f>
        <v>-12461684.093798069</v>
      </c>
      <c r="H10" s="79"/>
      <c r="J10" s="40"/>
      <c r="K10" s="40"/>
    </row>
    <row r="11" spans="1:11" x14ac:dyDescent="0.3">
      <c r="B11" s="80" t="s">
        <v>17</v>
      </c>
      <c r="C11" s="78">
        <f>'Reliquidación CD RGL'!O12</f>
        <v>-2676291.067156563</v>
      </c>
      <c r="D11" s="77"/>
      <c r="E11" s="80" t="s">
        <v>17</v>
      </c>
      <c r="F11" s="78">
        <v>0</v>
      </c>
      <c r="G11" s="78">
        <f>VLOOKUP(E11,$B$8:$C$42,2,0)+F11</f>
        <v>-2676291.067156563</v>
      </c>
      <c r="H11" s="79"/>
      <c r="I11" s="40"/>
      <c r="J11" s="40"/>
      <c r="K11" s="40"/>
    </row>
    <row r="12" spans="1:11" x14ac:dyDescent="0.3">
      <c r="B12" s="80" t="s">
        <v>18</v>
      </c>
      <c r="C12" s="78">
        <f>'Reliquidación CD RGL'!O13</f>
        <v>-131325207.91882432</v>
      </c>
      <c r="D12" s="77"/>
      <c r="E12" s="80" t="s">
        <v>82</v>
      </c>
      <c r="F12" s="78">
        <v>0</v>
      </c>
      <c r="G12" s="78">
        <f>C12+C13+C14+C15+C16+C18+C19+C20+C37+C38+C39+F12</f>
        <v>306361822.32408988</v>
      </c>
      <c r="H12" s="79"/>
      <c r="I12" s="40"/>
      <c r="J12" s="40"/>
      <c r="K12" s="40"/>
    </row>
    <row r="13" spans="1:11" x14ac:dyDescent="0.3">
      <c r="B13" s="80" t="s">
        <v>20</v>
      </c>
      <c r="C13" s="78">
        <f>'Reliquidación CD RGL'!O14</f>
        <v>16026922.58963366</v>
      </c>
      <c r="D13" s="77"/>
      <c r="E13" s="80" t="s">
        <v>83</v>
      </c>
      <c r="F13" s="78">
        <v>0</v>
      </c>
      <c r="G13" s="78">
        <f>C17+F13</f>
        <v>-771774805.87550664</v>
      </c>
      <c r="H13" s="79"/>
      <c r="I13" s="40"/>
      <c r="J13" s="40"/>
      <c r="K13" s="40"/>
    </row>
    <row r="14" spans="1:11" x14ac:dyDescent="0.3">
      <c r="B14" s="80" t="s">
        <v>21</v>
      </c>
      <c r="C14" s="78">
        <f>'Reliquidación CD RGL'!O15</f>
        <v>168274200.9143714</v>
      </c>
      <c r="D14" s="77"/>
      <c r="E14" s="80" t="s">
        <v>29</v>
      </c>
      <c r="F14" s="78">
        <v>0</v>
      </c>
      <c r="G14" s="78">
        <f>VLOOKUP(E14,$B$8:$C$42,2,0)+F14</f>
        <v>5259893.7693278398</v>
      </c>
      <c r="H14" s="79"/>
      <c r="I14" s="40"/>
      <c r="J14" s="40"/>
      <c r="K14" s="40"/>
    </row>
    <row r="15" spans="1:11" x14ac:dyDescent="0.3">
      <c r="B15" s="80" t="s">
        <v>22</v>
      </c>
      <c r="C15" s="78">
        <f>'Reliquidación CD RGL'!O16</f>
        <v>0</v>
      </c>
      <c r="D15" s="77"/>
      <c r="E15" s="80" t="s">
        <v>30</v>
      </c>
      <c r="F15" s="78">
        <v>0</v>
      </c>
      <c r="G15" s="78">
        <f t="shared" ref="G15:G32" si="0">VLOOKUP(E15,$B$8:$C$42,2,0)+F15</f>
        <v>-20160612.756389648</v>
      </c>
      <c r="H15" s="79"/>
      <c r="I15" s="40"/>
      <c r="J15" s="40"/>
      <c r="K15" s="40"/>
    </row>
    <row r="16" spans="1:11" x14ac:dyDescent="0.3">
      <c r="A16" s="40"/>
      <c r="B16" s="80" t="s">
        <v>23</v>
      </c>
      <c r="C16" s="78">
        <f>'Reliquidación CD RGL'!O17</f>
        <v>0</v>
      </c>
      <c r="D16" s="77"/>
      <c r="E16" s="80" t="s">
        <v>31</v>
      </c>
      <c r="F16" s="78">
        <v>0</v>
      </c>
      <c r="G16" s="78">
        <f t="shared" si="0"/>
        <v>-18379291.160556413</v>
      </c>
      <c r="H16" s="79"/>
      <c r="I16" s="40"/>
      <c r="J16" s="40"/>
      <c r="K16" s="40"/>
    </row>
    <row r="17" spans="1:11" x14ac:dyDescent="0.3">
      <c r="B17" s="80" t="s">
        <v>24</v>
      </c>
      <c r="C17" s="78">
        <f>'Reliquidación CD RGL'!O18</f>
        <v>-771774805.87550664</v>
      </c>
      <c r="D17" s="77"/>
      <c r="E17" s="80" t="s">
        <v>32</v>
      </c>
      <c r="F17" s="78">
        <v>0</v>
      </c>
      <c r="G17" s="78">
        <f t="shared" si="0"/>
        <v>8669366.2423148155</v>
      </c>
      <c r="H17" s="79"/>
      <c r="I17" s="40"/>
      <c r="J17" s="40"/>
      <c r="K17" s="40"/>
    </row>
    <row r="18" spans="1:11" x14ac:dyDescent="0.3">
      <c r="B18" s="80" t="s">
        <v>26</v>
      </c>
      <c r="C18" s="78">
        <f>'Reliquidación CD RGL'!O19</f>
        <v>47320960.116474018</v>
      </c>
      <c r="D18" s="77"/>
      <c r="E18" s="80" t="s">
        <v>33</v>
      </c>
      <c r="F18" s="78">
        <v>0</v>
      </c>
      <c r="G18" s="78">
        <f t="shared" si="0"/>
        <v>-3912282.8034776333</v>
      </c>
      <c r="H18" s="79"/>
      <c r="I18" s="40"/>
      <c r="J18" s="40"/>
      <c r="K18" s="40"/>
    </row>
    <row r="19" spans="1:11" x14ac:dyDescent="0.3">
      <c r="B19" s="80" t="s">
        <v>27</v>
      </c>
      <c r="C19" s="78">
        <f>'Reliquidación CD RGL'!O20</f>
        <v>-31000448.340770125</v>
      </c>
      <c r="D19" s="77"/>
      <c r="E19" s="80" t="s">
        <v>34</v>
      </c>
      <c r="F19" s="78">
        <v>0</v>
      </c>
      <c r="G19" s="78">
        <f t="shared" si="0"/>
        <v>424032.98699167289</v>
      </c>
      <c r="H19" s="79"/>
      <c r="I19" s="40"/>
      <c r="J19" s="40"/>
      <c r="K19" s="40"/>
    </row>
    <row r="20" spans="1:11" x14ac:dyDescent="0.3">
      <c r="B20" s="80" t="s">
        <v>28</v>
      </c>
      <c r="C20" s="78">
        <f>'Reliquidación CD RGL'!O21</f>
        <v>0</v>
      </c>
      <c r="D20" s="77"/>
      <c r="E20" s="80" t="s">
        <v>35</v>
      </c>
      <c r="F20" s="78">
        <v>0</v>
      </c>
      <c r="G20" s="78">
        <f t="shared" si="0"/>
        <v>59480348.453318678</v>
      </c>
      <c r="H20" s="79"/>
      <c r="I20" s="40"/>
      <c r="J20" s="40"/>
      <c r="K20" s="40"/>
    </row>
    <row r="21" spans="1:11" x14ac:dyDescent="0.3">
      <c r="B21" s="80" t="s">
        <v>29</v>
      </c>
      <c r="C21" s="78">
        <f>'Reliquidación CD RGL'!O22</f>
        <v>5259893.7693278398</v>
      </c>
      <c r="D21" s="77"/>
      <c r="E21" s="80" t="s">
        <v>36</v>
      </c>
      <c r="F21" s="78">
        <v>0</v>
      </c>
      <c r="G21" s="78">
        <f t="shared" si="0"/>
        <v>19250515.408050049</v>
      </c>
      <c r="H21" s="79"/>
      <c r="I21" s="40"/>
      <c r="J21" s="40"/>
      <c r="K21" s="40"/>
    </row>
    <row r="22" spans="1:11" x14ac:dyDescent="0.3">
      <c r="B22" s="80" t="s">
        <v>30</v>
      </c>
      <c r="C22" s="78">
        <f>'Reliquidación CD RGL'!O23</f>
        <v>-20160612.756389648</v>
      </c>
      <c r="D22" s="77"/>
      <c r="E22" s="80" t="s">
        <v>37</v>
      </c>
      <c r="F22" s="78">
        <v>0</v>
      </c>
      <c r="G22" s="78">
        <f t="shared" si="0"/>
        <v>167154488.81963599</v>
      </c>
      <c r="H22" s="79"/>
      <c r="I22" s="40"/>
      <c r="J22" s="40"/>
      <c r="K22" s="40"/>
    </row>
    <row r="23" spans="1:11" x14ac:dyDescent="0.3">
      <c r="B23" s="80" t="s">
        <v>31</v>
      </c>
      <c r="C23" s="78">
        <f>'Reliquidación CD RGL'!O24</f>
        <v>-18379291.160556413</v>
      </c>
      <c r="D23" s="77"/>
      <c r="E23" s="80" t="s">
        <v>38</v>
      </c>
      <c r="F23" s="78">
        <v>0</v>
      </c>
      <c r="G23" s="78">
        <f t="shared" si="0"/>
        <v>-3305741.6592374635</v>
      </c>
      <c r="H23" s="79"/>
      <c r="I23" s="40"/>
      <c r="J23" s="40"/>
      <c r="K23" s="40"/>
    </row>
    <row r="24" spans="1:11" x14ac:dyDescent="0.3">
      <c r="B24" s="80" t="s">
        <v>32</v>
      </c>
      <c r="C24" s="78">
        <f>'Reliquidación CD RGL'!O25</f>
        <v>8669366.2423148155</v>
      </c>
      <c r="D24" s="77"/>
      <c r="E24" s="80" t="s">
        <v>39</v>
      </c>
      <c r="F24" s="78">
        <v>0</v>
      </c>
      <c r="G24" s="78">
        <f t="shared" si="0"/>
        <v>222482131.9481819</v>
      </c>
      <c r="H24" s="79"/>
      <c r="I24" s="40"/>
      <c r="J24" s="40"/>
      <c r="K24" s="40"/>
    </row>
    <row r="25" spans="1:11" x14ac:dyDescent="0.3">
      <c r="B25" s="80" t="s">
        <v>33</v>
      </c>
      <c r="C25" s="78">
        <f>'Reliquidación CD RGL'!O26</f>
        <v>-3912282.8034776333</v>
      </c>
      <c r="D25" s="77"/>
      <c r="E25" s="80" t="s">
        <v>40</v>
      </c>
      <c r="F25" s="78">
        <v>0</v>
      </c>
      <c r="G25" s="78">
        <f t="shared" si="0"/>
        <v>-5094142.5479747364</v>
      </c>
      <c r="H25" s="79"/>
      <c r="I25" s="40"/>
      <c r="J25" s="40"/>
      <c r="K25" s="40"/>
    </row>
    <row r="26" spans="1:11" x14ac:dyDescent="0.3">
      <c r="B26" s="80" t="s">
        <v>34</v>
      </c>
      <c r="C26" s="78">
        <f>'Reliquidación CD RGL'!O27</f>
        <v>424032.98699167289</v>
      </c>
      <c r="D26" s="77"/>
      <c r="E26" s="80" t="s">
        <v>41</v>
      </c>
      <c r="F26" s="78">
        <v>0</v>
      </c>
      <c r="G26" s="78">
        <f t="shared" si="0"/>
        <v>-13668060.851544017</v>
      </c>
      <c r="H26" s="79"/>
      <c r="I26" s="40"/>
      <c r="J26" s="40"/>
      <c r="K26" s="40"/>
    </row>
    <row r="27" spans="1:11" x14ac:dyDescent="0.3">
      <c r="B27" s="80" t="s">
        <v>35</v>
      </c>
      <c r="C27" s="78">
        <f>'Reliquidación CD RGL'!O28</f>
        <v>59480348.453318678</v>
      </c>
      <c r="D27" s="77"/>
      <c r="E27" s="80" t="s">
        <v>42</v>
      </c>
      <c r="F27" s="78">
        <v>0</v>
      </c>
      <c r="G27" s="78">
        <f t="shared" si="0"/>
        <v>40232614.807550572</v>
      </c>
      <c r="H27" s="79"/>
      <c r="I27" s="40"/>
      <c r="J27" s="40"/>
      <c r="K27" s="40"/>
    </row>
    <row r="28" spans="1:11" x14ac:dyDescent="0.3">
      <c r="B28" s="80" t="s">
        <v>36</v>
      </c>
      <c r="C28" s="78">
        <f>'Reliquidación CD RGL'!O29</f>
        <v>19250515.408050049</v>
      </c>
      <c r="D28" s="77"/>
      <c r="E28" s="80" t="s">
        <v>43</v>
      </c>
      <c r="F28" s="78">
        <v>0</v>
      </c>
      <c r="G28" s="78">
        <f t="shared" si="0"/>
        <v>-9237785.1494948268</v>
      </c>
      <c r="H28" s="79"/>
      <c r="I28" s="40"/>
      <c r="J28" s="40"/>
      <c r="K28" s="40"/>
    </row>
    <row r="29" spans="1:11" x14ac:dyDescent="0.3">
      <c r="A29" s="40"/>
      <c r="B29" s="80" t="s">
        <v>37</v>
      </c>
      <c r="C29" s="78">
        <f>'Reliquidación CD RGL'!O30</f>
        <v>167154488.81963599</v>
      </c>
      <c r="D29" s="77"/>
      <c r="E29" s="80" t="s">
        <v>45</v>
      </c>
      <c r="F29" s="78">
        <v>0</v>
      </c>
      <c r="G29" s="78">
        <f t="shared" si="0"/>
        <v>11058114.468234571</v>
      </c>
      <c r="H29" s="79"/>
      <c r="I29" s="40"/>
      <c r="J29" s="40"/>
      <c r="K29" s="40"/>
    </row>
    <row r="30" spans="1:11" x14ac:dyDescent="0.3">
      <c r="B30" s="80" t="s">
        <v>38</v>
      </c>
      <c r="C30" s="78">
        <f>'Reliquidación CD RGL'!O31</f>
        <v>-3305741.6592374635</v>
      </c>
      <c r="D30" s="77"/>
      <c r="E30" s="80" t="s">
        <v>49</v>
      </c>
      <c r="F30" s="78">
        <v>0</v>
      </c>
      <c r="G30" s="78">
        <f t="shared" si="0"/>
        <v>0</v>
      </c>
      <c r="H30" s="79"/>
      <c r="I30" s="40"/>
      <c r="J30" s="40"/>
      <c r="K30" s="40"/>
    </row>
    <row r="31" spans="1:11" x14ac:dyDescent="0.3">
      <c r="A31" s="40"/>
      <c r="B31" s="80" t="s">
        <v>39</v>
      </c>
      <c r="C31" s="78">
        <f>'Reliquidación CD RGL'!O32</f>
        <v>222482131.9481819</v>
      </c>
      <c r="D31" s="77"/>
      <c r="E31" s="32" t="s">
        <v>50</v>
      </c>
      <c r="F31" s="78">
        <v>0</v>
      </c>
      <c r="G31" s="78">
        <f t="shared" si="0"/>
        <v>0</v>
      </c>
      <c r="H31" s="79"/>
      <c r="I31" s="40"/>
      <c r="J31" s="40"/>
      <c r="K31" s="40"/>
    </row>
    <row r="32" spans="1:11" x14ac:dyDescent="0.3">
      <c r="A32" s="40"/>
      <c r="B32" s="80" t="s">
        <v>40</v>
      </c>
      <c r="C32" s="78">
        <f>'Reliquidación CD RGL'!O33</f>
        <v>-5094142.5479747364</v>
      </c>
      <c r="D32" s="77"/>
      <c r="E32" s="81" t="s">
        <v>51</v>
      </c>
      <c r="F32" s="78">
        <v>0</v>
      </c>
      <c r="G32" s="78">
        <f t="shared" si="0"/>
        <v>2286363.255466803</v>
      </c>
      <c r="H32" s="77"/>
      <c r="I32" s="40"/>
      <c r="J32" s="40"/>
      <c r="K32" s="40"/>
    </row>
    <row r="33" spans="1:21" x14ac:dyDescent="0.3">
      <c r="A33" s="40"/>
      <c r="B33" s="80" t="s">
        <v>41</v>
      </c>
      <c r="C33" s="78">
        <f>'Reliquidación CD RGL'!O34</f>
        <v>-13668060.851544017</v>
      </c>
      <c r="D33" s="77"/>
      <c r="E33" s="82" t="s">
        <v>66</v>
      </c>
      <c r="F33" s="83">
        <f>SUM(F7:F32)</f>
        <v>0</v>
      </c>
      <c r="G33" s="83">
        <f>SUM(G8:G32)</f>
        <v>-1.6298145055770874E-7</v>
      </c>
      <c r="H33" s="84"/>
      <c r="I33" s="40"/>
      <c r="J33" s="40"/>
      <c r="K33" s="40"/>
    </row>
    <row r="34" spans="1:21" x14ac:dyDescent="0.3">
      <c r="B34" s="80" t="s">
        <v>42</v>
      </c>
      <c r="C34" s="78">
        <f>'Reliquidación CD RGL'!O35</f>
        <v>40232614.807550572</v>
      </c>
      <c r="D34" s="77"/>
      <c r="E34" s="85"/>
      <c r="F34" s="85"/>
      <c r="G34" s="86"/>
      <c r="H34" s="84"/>
      <c r="I34" s="40"/>
      <c r="J34" s="40"/>
      <c r="K34" s="40"/>
    </row>
    <row r="35" spans="1:21" x14ac:dyDescent="0.3">
      <c r="A35" s="40"/>
      <c r="B35" s="80" t="s">
        <v>43</v>
      </c>
      <c r="C35" s="78">
        <f>'Reliquidación CD RGL'!O36</f>
        <v>-9237785.1494948268</v>
      </c>
      <c r="D35" s="77"/>
      <c r="E35" s="85"/>
      <c r="F35" s="55"/>
      <c r="G35" s="86"/>
      <c r="H35" s="84"/>
      <c r="I35" s="40"/>
      <c r="J35" s="40"/>
      <c r="K35" s="40"/>
    </row>
    <row r="36" spans="1:21" x14ac:dyDescent="0.3">
      <c r="A36" s="40"/>
      <c r="B36" s="80" t="s">
        <v>45</v>
      </c>
      <c r="C36" s="78">
        <f>'Reliquidación CD RGL'!O37</f>
        <v>11058114.468234571</v>
      </c>
      <c r="D36" s="77"/>
      <c r="E36" s="85"/>
      <c r="F36" s="85"/>
      <c r="G36" s="86"/>
      <c r="H36" s="84"/>
      <c r="I36" s="40"/>
      <c r="J36" s="40"/>
      <c r="K36" s="40"/>
    </row>
    <row r="37" spans="1:21" x14ac:dyDescent="0.3">
      <c r="B37" s="80" t="s">
        <v>46</v>
      </c>
      <c r="C37" s="78">
        <f>'Reliquidación CD RGL'!O38</f>
        <v>-26630689.099124532</v>
      </c>
      <c r="D37" s="77"/>
      <c r="E37" s="85"/>
      <c r="F37" s="85"/>
      <c r="G37" s="86"/>
      <c r="H37" s="84"/>
      <c r="I37" s="40"/>
      <c r="J37" s="40"/>
      <c r="K37" s="40"/>
    </row>
    <row r="38" spans="1:21" x14ac:dyDescent="0.3">
      <c r="B38" s="80" t="s">
        <v>47</v>
      </c>
      <c r="C38" s="78">
        <f>'Reliquidación CD RGL'!O39</f>
        <v>83988828.964677677</v>
      </c>
      <c r="D38" s="77"/>
      <c r="E38" s="85"/>
      <c r="F38" s="85"/>
      <c r="G38" s="86"/>
      <c r="H38" s="84"/>
      <c r="I38" s="40"/>
      <c r="J38" s="40"/>
      <c r="K38" s="40"/>
    </row>
    <row r="39" spans="1:21" x14ac:dyDescent="0.3">
      <c r="B39" s="80" t="s">
        <v>48</v>
      </c>
      <c r="C39" s="78">
        <f>'Reliquidación CD RGL'!O40</f>
        <v>179707255.09765211</v>
      </c>
      <c r="D39" s="77"/>
      <c r="E39" s="85"/>
      <c r="F39" s="85"/>
      <c r="G39" s="86"/>
      <c r="H39" s="84"/>
      <c r="I39" s="40"/>
      <c r="J39" s="40"/>
      <c r="K39" s="40"/>
    </row>
    <row r="40" spans="1:21" x14ac:dyDescent="0.3">
      <c r="B40" s="80" t="s">
        <v>49</v>
      </c>
      <c r="C40" s="78">
        <f>'Reliquidación CD RGL'!O41</f>
        <v>0</v>
      </c>
      <c r="D40" s="77"/>
      <c r="E40" s="85"/>
      <c r="F40" s="85"/>
      <c r="G40" s="86"/>
      <c r="H40" s="84"/>
      <c r="I40" s="40"/>
      <c r="J40" s="40"/>
      <c r="K40" s="40"/>
      <c r="L40" s="40"/>
      <c r="M40" s="40"/>
      <c r="N40" s="40"/>
      <c r="O40" s="40"/>
    </row>
    <row r="41" spans="1:21" x14ac:dyDescent="0.3">
      <c r="B41" s="32" t="s">
        <v>50</v>
      </c>
      <c r="C41" s="78">
        <f>'Reliquidación CD RGL'!O42</f>
        <v>0</v>
      </c>
      <c r="D41" s="77"/>
      <c r="E41" s="85"/>
      <c r="F41" s="85"/>
      <c r="G41" s="86"/>
      <c r="H41" s="84"/>
      <c r="I41" s="40"/>
      <c r="J41" s="40"/>
      <c r="K41" s="40"/>
      <c r="L41" s="40"/>
      <c r="M41" s="40"/>
      <c r="N41" s="40"/>
      <c r="O41" s="40"/>
    </row>
    <row r="42" spans="1:21" x14ac:dyDescent="0.3">
      <c r="B42" s="81" t="s">
        <v>51</v>
      </c>
      <c r="C42" s="87">
        <f>'Reliquidación CD RGL'!O43</f>
        <v>2286363.255466803</v>
      </c>
      <c r="D42" s="77"/>
      <c r="E42" s="85"/>
      <c r="F42" s="85"/>
      <c r="G42" s="86"/>
      <c r="H42" s="84"/>
      <c r="I42" s="40"/>
      <c r="J42" s="40"/>
      <c r="K42" s="40"/>
    </row>
    <row r="43" spans="1:21" x14ac:dyDescent="0.3">
      <c r="B43" s="82" t="s">
        <v>66</v>
      </c>
      <c r="C43" s="83">
        <f>SUM(C8:C42)</f>
        <v>7.3574483394622803E-8</v>
      </c>
      <c r="D43" s="88"/>
      <c r="E43" s="40"/>
      <c r="F43" s="40"/>
      <c r="H43" s="84"/>
      <c r="I43" s="40"/>
      <c r="J43" s="40"/>
      <c r="K43" s="40"/>
    </row>
    <row r="44" spans="1:21" x14ac:dyDescent="0.3">
      <c r="B44" s="85"/>
      <c r="C44" s="89"/>
      <c r="E44" s="40"/>
      <c r="F44" s="40"/>
      <c r="H44" s="40"/>
      <c r="I44" s="40"/>
    </row>
    <row r="45" spans="1:21" x14ac:dyDescent="0.3">
      <c r="B45" s="85"/>
      <c r="C45" s="89"/>
      <c r="D45" s="89"/>
      <c r="H45" s="40"/>
    </row>
    <row r="46" spans="1:21" x14ac:dyDescent="0.3">
      <c r="B46" s="40"/>
      <c r="C46" s="40"/>
      <c r="D46" s="40"/>
      <c r="E46" s="86"/>
      <c r="F46" s="86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21" x14ac:dyDescent="0.3">
      <c r="B47" s="90" t="s">
        <v>84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R47" s="40"/>
      <c r="S47" s="40"/>
      <c r="T47" s="40"/>
      <c r="U47" s="40"/>
    </row>
    <row r="48" spans="1:21" x14ac:dyDescent="0.3">
      <c r="B48" s="40"/>
      <c r="C48" s="40"/>
      <c r="D48" s="40"/>
      <c r="E48" s="86"/>
      <c r="F48" s="86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x14ac:dyDescent="0.3">
      <c r="B49" s="118" t="s">
        <v>85</v>
      </c>
      <c r="C49" s="120" t="s">
        <v>86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91"/>
      <c r="P49" s="122" t="s">
        <v>52</v>
      </c>
    </row>
    <row r="50" spans="2:17" x14ac:dyDescent="0.3">
      <c r="B50" s="119"/>
      <c r="C50" s="38" t="s">
        <v>14</v>
      </c>
      <c r="D50" s="39" t="s">
        <v>15</v>
      </c>
      <c r="E50" s="38" t="s">
        <v>82</v>
      </c>
      <c r="F50" s="39" t="s">
        <v>29</v>
      </c>
      <c r="G50" s="38" t="s">
        <v>32</v>
      </c>
      <c r="H50" s="38" t="s">
        <v>34</v>
      </c>
      <c r="I50" s="38" t="s">
        <v>35</v>
      </c>
      <c r="J50" s="39" t="s">
        <v>37</v>
      </c>
      <c r="K50" s="64" t="s">
        <v>39</v>
      </c>
      <c r="L50" s="39" t="s">
        <v>42</v>
      </c>
      <c r="M50" s="61" t="s">
        <v>45</v>
      </c>
      <c r="N50" s="39" t="s">
        <v>51</v>
      </c>
      <c r="O50" s="39" t="s">
        <v>36</v>
      </c>
      <c r="P50" s="123"/>
    </row>
    <row r="51" spans="2:17" ht="12" customHeight="1" x14ac:dyDescent="0.3">
      <c r="B51" s="61" t="s">
        <v>16</v>
      </c>
      <c r="C51" s="92" cm="1">
        <f t="array" ref="C51">(VLOOKUP($B51,$E$8:$G$32,3,0)*(-(VLOOKUP(C$50,$E$8:$G$32,3,0))))/SUMPRODUCT(($G$8:$G$32&gt;0)*($G$8:$G$32))</f>
        <v>2745.1278501013403</v>
      </c>
      <c r="D51" s="92" cm="1">
        <f t="array" ref="D51">(VLOOKUP($B51,$E$8:$G$32,3,0)*(-(VLOOKUP(D$50,$E$8:$G$32,3,0))))/SUMPRODUCT(($G$8:$G$32&gt;0)*($G$8:$G$32))</f>
        <v>258036.91231772475</v>
      </c>
      <c r="E51" s="92" cm="1">
        <f t="array" ref="E51">(VLOOKUP($B51,$E$8:$G$32,3,0)*(-(VLOOKUP(E$50,$E$8:$G$32,3,0))))/SUMPRODUCT(($G$8:$G$32&gt;0)*($G$8:$G$32))</f>
        <v>4435824.5926454822</v>
      </c>
      <c r="F51" s="92" cm="1">
        <f t="array" ref="F51">(VLOOKUP($B51,$E$8:$G$32,3,0)*(-(VLOOKUP(F$50,$E$8:$G$32,3,0))))/SUMPRODUCT(($G$8:$G$32&gt;0)*($G$8:$G$32))</f>
        <v>76158.203916169005</v>
      </c>
      <c r="G51" s="92" cm="1">
        <f t="array" ref="G51">(VLOOKUP($B51,$E$8:$G$32,3,0)*(-(VLOOKUP(G$50,$E$8:$G$32,3,0))))/SUMPRODUCT(($G$8:$G$32&gt;0)*($G$8:$G$32))</f>
        <v>125524.08680879799</v>
      </c>
      <c r="H51" s="92" cm="1">
        <f t="array" ref="H51">(VLOOKUP($B51,$E$8:$G$32,3,0)*(-(VLOOKUP(H$50,$E$8:$G$32,3,0))))/SUMPRODUCT(($G$8:$G$32&gt;0)*($G$8:$G$32))</f>
        <v>6139.5899055620748</v>
      </c>
      <c r="I51" s="92" cm="1">
        <f t="array" ref="I51">(VLOOKUP($B51,$E$8:$G$32,3,0)*(-(VLOOKUP(I$50,$E$8:$G$32,3,0))))/SUMPRODUCT(($G$8:$G$32&gt;0)*($G$8:$G$32))</f>
        <v>861218.24986809725</v>
      </c>
      <c r="J51" s="92" cm="1">
        <f t="array" ref="J51">(VLOOKUP($B51,$E$8:$G$32,3,0)*(-(VLOOKUP(J$50,$E$8:$G$32,3,0))))/SUMPRODUCT(($G$8:$G$32&gt;0)*($G$8:$G$32))</f>
        <v>2420236.2639456149</v>
      </c>
      <c r="K51" s="92" cm="1">
        <f t="array" ref="K51">(VLOOKUP($B51,$E$8:$G$32,3,0)*(-(VLOOKUP(K$50,$E$8:$G$32,3,0))))/SUMPRODUCT(($G$8:$G$32&gt;0)*($G$8:$G$32))</f>
        <v>3221327.3339128485</v>
      </c>
      <c r="L51" s="92" cm="1">
        <f t="array" ref="L51">(VLOOKUP($B51,$E$8:$G$32,3,0)*(-(VLOOKUP(L$50,$E$8:$G$32,3,0))))/SUMPRODUCT(($G$8:$G$32&gt;0)*($G$8:$G$32))</f>
        <v>582529.57511453121</v>
      </c>
      <c r="M51" s="92" cm="1">
        <f t="array" ref="M51">(VLOOKUP($B51,$E$8:$G$32,3,0)*(-(VLOOKUP(M$50,$E$8:$G$32,3,0))))/SUMPRODUCT(($G$8:$G$32&gt;0)*($G$8:$G$32))</f>
        <v>160110.86412259753</v>
      </c>
      <c r="N51" s="92" cm="1">
        <f t="array" ref="N51">(VLOOKUP($B51,$E$8:$G$32,3,0)*(-(VLOOKUP(N$50,$E$8:$G$32,3,0))))/SUMPRODUCT(($G$8:$G$32&gt;0)*($G$8:$G$32))</f>
        <v>33104.341394052186</v>
      </c>
      <c r="O51" s="92" cm="1">
        <f t="array" ref="O51">(VLOOKUP($B51,$E$8:$G$32,3,0)*(-(VLOOKUP(O$50,$E$8:$G$32,3,0))))/SUMPRODUCT(($G$8:$G$32&gt;0)*($G$8:$G$32))</f>
        <v>278728.9519964924</v>
      </c>
      <c r="P51" s="93">
        <f>SUM(C51:O51)</f>
        <v>12461684.093798069</v>
      </c>
    </row>
    <row r="52" spans="2:17" x14ac:dyDescent="0.3">
      <c r="B52" s="64" t="s">
        <v>17</v>
      </c>
      <c r="C52" s="92" cm="1">
        <f t="array" ref="C52">(VLOOKUP($B52,$E$8:$G$32,3,0)*(-(VLOOKUP(C$50,$E$8:$G$32,3,0))))/SUMPRODUCT(($G$8:$G$32&gt;0)*($G$8:$G$32))</f>
        <v>589.54801679535876</v>
      </c>
      <c r="D52" s="92" cm="1">
        <f t="array" ref="D52">(VLOOKUP($B52,$E$8:$G$32,3,0)*(-(VLOOKUP(D$50,$E$8:$G$32,3,0))))/SUMPRODUCT(($G$8:$G$32&gt;0)*($G$8:$G$32))</f>
        <v>55416.417093759977</v>
      </c>
      <c r="E52" s="92" cm="1">
        <f t="array" ref="E52">(VLOOKUP($B52,$E$8:$G$32,3,0)*(-(VLOOKUP(E$50,$E$8:$G$32,3,0))))/SUMPRODUCT(($G$8:$G$32&gt;0)*($G$8:$G$32))</f>
        <v>952644.73432437109</v>
      </c>
      <c r="F52" s="92" cm="1">
        <f t="array" ref="F52">(VLOOKUP($B52,$E$8:$G$32,3,0)*(-(VLOOKUP(F$50,$E$8:$G$32,3,0))))/SUMPRODUCT(($G$8:$G$32&gt;0)*($G$8:$G$32))</f>
        <v>16355.856824597966</v>
      </c>
      <c r="G52" s="92" cm="1">
        <f t="array" ref="G52">(VLOOKUP($B52,$E$8:$G$32,3,0)*(-(VLOOKUP(G$50,$E$8:$G$32,3,0))))/SUMPRODUCT(($G$8:$G$32&gt;0)*($G$8:$G$32))</f>
        <v>26957.752235635726</v>
      </c>
      <c r="H52" s="92" cm="1">
        <f t="array" ref="H52">(VLOOKUP($B52,$E$8:$G$32,3,0)*(-(VLOOKUP(H$50,$E$8:$G$32,3,0))))/SUMPRODUCT(($G$8:$G$32&gt;0)*($G$8:$G$32))</f>
        <v>1318.5480787815777</v>
      </c>
      <c r="I52" s="92" cm="1">
        <f t="array" ref="I52">(VLOOKUP($B52,$E$8:$G$32,3,0)*(-(VLOOKUP(I$50,$E$8:$G$32,3,0))))/SUMPRODUCT(($G$8:$G$32&gt;0)*($G$8:$G$32))</f>
        <v>184956.59909572618</v>
      </c>
      <c r="J52" s="92" cm="1">
        <f t="array" ref="J52">(VLOOKUP($B52,$E$8:$G$32,3,0)*(-(VLOOKUP(J$50,$E$8:$G$32,3,0))))/SUMPRODUCT(($G$8:$G$32&gt;0)*($G$8:$G$32))</f>
        <v>519773.78377210058</v>
      </c>
      <c r="K52" s="92" cm="1">
        <f t="array" ref="K52">(VLOOKUP($B52,$E$8:$G$32,3,0)*(-(VLOOKUP(K$50,$E$8:$G$32,3,0))))/SUMPRODUCT(($G$8:$G$32&gt;0)*($G$8:$G$32))</f>
        <v>691817.37422061816</v>
      </c>
      <c r="L52" s="92" cm="1">
        <f t="array" ref="L52">(VLOOKUP($B52,$E$8:$G$32,3,0)*(-(VLOOKUP(L$50,$E$8:$G$32,3,0))))/SUMPRODUCT(($G$8:$G$32&gt;0)*($G$8:$G$32))</f>
        <v>125104.97670290169</v>
      </c>
      <c r="M52" s="92" cm="1">
        <f t="array" ref="M52">(VLOOKUP($B52,$E$8:$G$32,3,0)*(-(VLOOKUP(M$50,$E$8:$G$32,3,0))))/SUMPRODUCT(($G$8:$G$32&gt;0)*($G$8:$G$32))</f>
        <v>34385.663460950957</v>
      </c>
      <c r="N52" s="92" cm="1">
        <f t="array" ref="N52">(VLOOKUP($B52,$E$8:$G$32,3,0)*(-(VLOOKUP(N$50,$E$8:$G$32,3,0))))/SUMPRODUCT(($G$8:$G$32&gt;0)*($G$8:$G$32))</f>
        <v>7109.5409328419728</v>
      </c>
      <c r="O52" s="92" cm="1">
        <f t="array" ref="O52">(VLOOKUP($B52,$E$8:$G$32,3,0)*(-(VLOOKUP(O$50,$E$8:$G$32,3,0))))/SUMPRODUCT(($G$8:$G$32&gt;0)*($G$8:$G$32))</f>
        <v>59860.272397482164</v>
      </c>
      <c r="P52" s="93">
        <f t="shared" ref="P52:P62" si="1">SUM(C52:O52)</f>
        <v>2676291.067156563</v>
      </c>
    </row>
    <row r="53" spans="2:17" x14ac:dyDescent="0.3">
      <c r="B53" s="64" t="s">
        <v>83</v>
      </c>
      <c r="C53" s="92" cm="1">
        <f t="array" ref="C53">(VLOOKUP($B53,$E$8:$G$32,3,0)*(-(VLOOKUP(C$50,$E$8:$G$32,3,0))))/SUMPRODUCT(($G$8:$G$32&gt;0)*($G$8:$G$32))</f>
        <v>170010.77042787534</v>
      </c>
      <c r="D53" s="92" cm="1">
        <f t="array" ref="D53">(VLOOKUP($B53,$E$8:$G$32,3,0)*(-(VLOOKUP(D$50,$E$8:$G$32,3,0))))/SUMPRODUCT(($G$8:$G$32&gt;0)*($G$8:$G$32))</f>
        <v>15980696.221615691</v>
      </c>
      <c r="E53" s="92" cm="1">
        <f t="array" ref="E53">(VLOOKUP($B53,$E$8:$G$32,3,0)*(-(VLOOKUP(E$50,$E$8:$G$32,3,0))))/SUMPRODUCT(($G$8:$G$32&gt;0)*($G$8:$G$32))</f>
        <v>274718700.78864795</v>
      </c>
      <c r="F53" s="92" cm="1">
        <f t="array" ref="F53">(VLOOKUP($B53,$E$8:$G$32,3,0)*(-(VLOOKUP(F$50,$E$8:$G$32,3,0))))/SUMPRODUCT(($G$8:$G$32&gt;0)*($G$8:$G$32))</f>
        <v>4716616.3578549316</v>
      </c>
      <c r="G53" s="92" cm="1">
        <f t="array" ref="G53">(VLOOKUP($B53,$E$8:$G$32,3,0)*(-(VLOOKUP(G$50,$E$8:$G$32,3,0))))/SUMPRODUCT(($G$8:$G$32&gt;0)*($G$8:$G$32))</f>
        <v>7773935.4488831675</v>
      </c>
      <c r="H53" s="92" cm="1">
        <f t="array" ref="H53">(VLOOKUP($B53,$E$8:$G$32,3,0)*(-(VLOOKUP(H$50,$E$8:$G$32,3,0))))/SUMPRODUCT(($G$8:$G$32&gt;0)*($G$8:$G$32))</f>
        <v>380235.99152851163</v>
      </c>
      <c r="I53" s="92" cm="1">
        <f t="array" ref="I53">(VLOOKUP($B53,$E$8:$G$32,3,0)*(-(VLOOKUP(I$50,$E$8:$G$32,3,0))))/SUMPRODUCT(($G$8:$G$32&gt;0)*($G$8:$G$32))</f>
        <v>53336815.682816535</v>
      </c>
      <c r="J53" s="92" cm="1">
        <f t="array" ref="J53">(VLOOKUP($B53,$E$8:$G$32,3,0)*(-(VLOOKUP(J$50,$E$8:$G$32,3,0))))/SUMPRODUCT(($G$8:$G$32&gt;0)*($G$8:$G$32))</f>
        <v>149889642.42072976</v>
      </c>
      <c r="K53" s="92" cm="1">
        <f t="array" ref="K53">(VLOOKUP($B53,$E$8:$G$32,3,0)*(-(VLOOKUP(K$50,$E$8:$G$32,3,0))))/SUMPRODUCT(($G$8:$G$32&gt;0)*($G$8:$G$32))</f>
        <v>199502672.27760601</v>
      </c>
      <c r="L53" s="92" cm="1">
        <f t="array" ref="L53">(VLOOKUP($B53,$E$8:$G$32,3,0)*(-(VLOOKUP(L$50,$E$8:$G$32,3,0))))/SUMPRODUCT(($G$8:$G$32&gt;0)*($G$8:$G$32))</f>
        <v>36077118.178152703</v>
      </c>
      <c r="M53" s="92" cm="1">
        <f t="array" ref="M53">(VLOOKUP($B53,$E$8:$G$32,3,0)*(-(VLOOKUP(M$50,$E$8:$G$32,3,0))))/SUMPRODUCT(($G$8:$G$32&gt;0)*($G$8:$G$32))</f>
        <v>9915957.5982411094</v>
      </c>
      <c r="N53" s="92" cm="1">
        <f t="array" ref="N53">(VLOOKUP($B53,$E$8:$G$32,3,0)*(-(VLOOKUP(N$50,$E$8:$G$32,3,0))))/SUMPRODUCT(($G$8:$G$32&gt;0)*($G$8:$G$32))</f>
        <v>2050212.1912837124</v>
      </c>
      <c r="O53" s="92" cm="1">
        <f t="array" ref="O53">(VLOOKUP($B53,$E$8:$G$32,3,0)*(-(VLOOKUP(O$50,$E$8:$G$32,3,0))))/SUMPRODUCT(($G$8:$G$32&gt;0)*($G$8:$G$32))</f>
        <v>17262191.947718788</v>
      </c>
      <c r="P53" s="93">
        <f t="shared" si="1"/>
        <v>771774805.87550664</v>
      </c>
    </row>
    <row r="54" spans="2:17" x14ac:dyDescent="0.3">
      <c r="B54" s="64" t="s">
        <v>30</v>
      </c>
      <c r="C54" s="92" cm="1">
        <f t="array" ref="C54">(VLOOKUP($B54,$E$8:$G$32,3,0)*(-(VLOOKUP(C$50,$E$8:$G$32,3,0))))/SUMPRODUCT(($G$8:$G$32&gt;0)*($G$8:$G$32))</f>
        <v>4441.089914983233</v>
      </c>
      <c r="D54" s="92" cm="1">
        <f t="array" ref="D54">(VLOOKUP($B54,$E$8:$G$32,3,0)*(-(VLOOKUP(D$50,$E$8:$G$32,3,0))))/SUMPRODUCT(($G$8:$G$32&gt;0)*($G$8:$G$32))</f>
        <v>417454.19214094355</v>
      </c>
      <c r="E54" s="92" cm="1">
        <f t="array" ref="E54">(VLOOKUP($B54,$E$8:$G$32,3,0)*(-(VLOOKUP(E$50,$E$8:$G$32,3,0))))/SUMPRODUCT(($G$8:$G$32&gt;0)*($G$8:$G$32))</f>
        <v>7176312.7033610493</v>
      </c>
      <c r="F54" s="92" cm="1">
        <f t="array" ref="F54">(VLOOKUP($B54,$E$8:$G$32,3,0)*(-(VLOOKUP(F$50,$E$8:$G$32,3,0))))/SUMPRODUCT(($G$8:$G$32&gt;0)*($G$8:$G$32))</f>
        <v>123209.35483673324</v>
      </c>
      <c r="G54" s="92" cm="1">
        <f t="array" ref="G54">(VLOOKUP($B54,$E$8:$G$32,3,0)*(-(VLOOKUP(G$50,$E$8:$G$32,3,0))))/SUMPRODUCT(($G$8:$G$32&gt;0)*($G$8:$G$32))</f>
        <v>203073.87723069184</v>
      </c>
      <c r="H54" s="92" cm="1">
        <f t="array" ref="H54">(VLOOKUP($B54,$E$8:$G$32,3,0)*(-(VLOOKUP(H$50,$E$8:$G$32,3,0))))/SUMPRODUCT(($G$8:$G$32&gt;0)*($G$8:$G$32))</f>
        <v>9932.6779299980553</v>
      </c>
      <c r="I54" s="92" cm="1">
        <f t="array" ref="I54">(VLOOKUP($B54,$E$8:$G$32,3,0)*(-(VLOOKUP(I$50,$E$8:$G$32,3,0))))/SUMPRODUCT(($G$8:$G$32&gt;0)*($G$8:$G$32))</f>
        <v>1393285.8114231438</v>
      </c>
      <c r="J54" s="92" cm="1">
        <f t="array" ref="J54">(VLOOKUP($B54,$E$8:$G$32,3,0)*(-(VLOOKUP(J$50,$E$8:$G$32,3,0))))/SUMPRODUCT(($G$8:$G$32&gt;0)*($G$8:$G$32))</f>
        <v>3915477.6937943972</v>
      </c>
      <c r="K54" s="92" cm="1">
        <f t="array" ref="K54">(VLOOKUP($B54,$E$8:$G$32,3,0)*(-(VLOOKUP(K$50,$E$8:$G$32,3,0))))/SUMPRODUCT(($G$8:$G$32&gt;0)*($G$8:$G$32))</f>
        <v>5211489.2699704468</v>
      </c>
      <c r="L54" s="92" cm="1">
        <f t="array" ref="L54">(VLOOKUP($B54,$E$8:$G$32,3,0)*(-(VLOOKUP(L$50,$E$8:$G$32,3,0))))/SUMPRODUCT(($G$8:$G$32&gt;0)*($G$8:$G$32))</f>
        <v>942421.0319111757</v>
      </c>
      <c r="M54" s="92" cm="1">
        <f t="array" ref="M54">(VLOOKUP($B54,$E$8:$G$32,3,0)*(-(VLOOKUP(M$50,$E$8:$G$32,3,0))))/SUMPRODUCT(($G$8:$G$32&gt;0)*($G$8:$G$32))</f>
        <v>259028.64375073407</v>
      </c>
      <c r="N54" s="92" cm="1">
        <f t="array" ref="N54">(VLOOKUP($B54,$E$8:$G$32,3,0)*(-(VLOOKUP(N$50,$E$8:$G$32,3,0))))/SUMPRODUCT(($G$8:$G$32&gt;0)*($G$8:$G$32))</f>
        <v>53556.469765828828</v>
      </c>
      <c r="O54" s="92" cm="1">
        <f t="array" ref="O54">(VLOOKUP($B54,$E$8:$G$32,3,0)*(-(VLOOKUP(O$50,$E$8:$G$32,3,0))))/SUMPRODUCT(($G$8:$G$32&gt;0)*($G$8:$G$32))</f>
        <v>450929.94035952486</v>
      </c>
      <c r="P54" s="93">
        <f t="shared" si="1"/>
        <v>20160612.756389651</v>
      </c>
    </row>
    <row r="55" spans="2:17" x14ac:dyDescent="0.3">
      <c r="B55" s="64" t="s">
        <v>31</v>
      </c>
      <c r="C55" s="92" cm="1">
        <f t="array" ref="C55">(VLOOKUP($B55,$E$8:$G$32,3,0)*(-(VLOOKUP(C$50,$E$8:$G$32,3,0))))/SUMPRODUCT(($G$8:$G$32&gt;0)*($G$8:$G$32))</f>
        <v>4048.6906625304764</v>
      </c>
      <c r="D55" s="92" cm="1">
        <f t="array" ref="D55">(VLOOKUP($B55,$E$8:$G$32,3,0)*(-(VLOOKUP(D$50,$E$8:$G$32,3,0))))/SUMPRODUCT(($G$8:$G$32&gt;0)*($G$8:$G$32))</f>
        <v>380569.39222353534</v>
      </c>
      <c r="E55" s="92" cm="1">
        <f t="array" ref="E55">(VLOOKUP($B55,$E$8:$G$32,3,0)*(-(VLOOKUP(E$50,$E$8:$G$32,3,0))))/SUMPRODUCT(($G$8:$G$32&gt;0)*($G$8:$G$32))</f>
        <v>6542238.6823272444</v>
      </c>
      <c r="F55" s="92" cm="1">
        <f t="array" ref="F55">(VLOOKUP($B55,$E$8:$G$32,3,0)*(-(VLOOKUP(F$50,$E$8:$G$32,3,0))))/SUMPRODUCT(($G$8:$G$32&gt;0)*($G$8:$G$32))</f>
        <v>112323.00494095475</v>
      </c>
      <c r="G55" s="92" cm="1">
        <f t="array" ref="G55">(VLOOKUP($B55,$E$8:$G$32,3,0)*(-(VLOOKUP(G$50,$E$8:$G$32,3,0))))/SUMPRODUCT(($G$8:$G$32&gt;0)*($G$8:$G$32))</f>
        <v>185130.97601872496</v>
      </c>
      <c r="H55" s="92" cm="1">
        <f t="array" ref="H55">(VLOOKUP($B55,$E$8:$G$32,3,0)*(-(VLOOKUP(H$50,$E$8:$G$32,3,0))))/SUMPRODUCT(($G$8:$G$32&gt;0)*($G$8:$G$32))</f>
        <v>9055.0610681021262</v>
      </c>
      <c r="I55" s="92" cm="1">
        <f t="array" ref="I55">(VLOOKUP($B55,$E$8:$G$32,3,0)*(-(VLOOKUP(I$50,$E$8:$G$32,3,0))))/SUMPRODUCT(($G$8:$G$32&gt;0)*($G$8:$G$32))</f>
        <v>1270179.9249579879</v>
      </c>
      <c r="J55" s="92" cm="1">
        <f t="array" ref="J55">(VLOOKUP($B55,$E$8:$G$32,3,0)*(-(VLOOKUP(J$50,$E$8:$G$32,3,0))))/SUMPRODUCT(($G$8:$G$32&gt;0)*($G$8:$G$32))</f>
        <v>3569519.70837807</v>
      </c>
      <c r="K55" s="92" cm="1">
        <f t="array" ref="K55">(VLOOKUP($B55,$E$8:$G$32,3,0)*(-(VLOOKUP(K$50,$E$8:$G$32,3,0))))/SUMPRODUCT(($G$8:$G$32&gt;0)*($G$8:$G$32))</f>
        <v>4751020.2110570809</v>
      </c>
      <c r="L55" s="92" cm="1">
        <f t="array" ref="L55">(VLOOKUP($B55,$E$8:$G$32,3,0)*(-(VLOOKUP(L$50,$E$8:$G$32,3,0))))/SUMPRODUCT(($G$8:$G$32&gt;0)*($G$8:$G$32))</f>
        <v>859151.9886139296</v>
      </c>
      <c r="M55" s="92" cm="1">
        <f t="array" ref="M55">(VLOOKUP($B55,$E$8:$G$32,3,0)*(-(VLOOKUP(M$50,$E$8:$G$32,3,0))))/SUMPRODUCT(($G$8:$G$32&gt;0)*($G$8:$G$32))</f>
        <v>236141.77405941792</v>
      </c>
      <c r="N55" s="92" cm="1">
        <f t="array" ref="N55">(VLOOKUP($B55,$E$8:$G$32,3,0)*(-(VLOOKUP(N$50,$E$8:$G$32,3,0))))/SUMPRODUCT(($G$8:$G$32&gt;0)*($G$8:$G$32))</f>
        <v>48824.406442990374</v>
      </c>
      <c r="O55" s="92" cm="1">
        <f t="array" ref="O55">(VLOOKUP($B55,$E$8:$G$32,3,0)*(-(VLOOKUP(O$50,$E$8:$G$32,3,0))))/SUMPRODUCT(($G$8:$G$32&gt;0)*($G$8:$G$32))</f>
        <v>411087.33980584703</v>
      </c>
      <c r="P55" s="93">
        <f t="shared" si="1"/>
        <v>18379291.160556413</v>
      </c>
    </row>
    <row r="56" spans="2:17" x14ac:dyDescent="0.3">
      <c r="B56" s="64" t="s">
        <v>33</v>
      </c>
      <c r="C56" s="92" cm="1">
        <f t="array" ref="C56">(VLOOKUP($B56,$E$8:$G$32,3,0)*(-(VLOOKUP(C$50,$E$8:$G$32,3,0))))/SUMPRODUCT(($G$8:$G$32&gt;0)*($G$8:$G$32))</f>
        <v>861.81902866916221</v>
      </c>
      <c r="D56" s="92" cm="1">
        <f t="array" ref="D56">(VLOOKUP($B56,$E$8:$G$32,3,0)*(-(VLOOKUP(D$50,$E$8:$G$32,3,0))))/SUMPRODUCT(($G$8:$G$32&gt;0)*($G$8:$G$32))</f>
        <v>81009.385820132869</v>
      </c>
      <c r="E56" s="92" cm="1">
        <f t="array" ref="E56">(VLOOKUP($B56,$E$8:$G$32,3,0)*(-(VLOOKUP(E$50,$E$8:$G$32,3,0))))/SUMPRODUCT(($G$8:$G$32&gt;0)*($G$8:$G$32))</f>
        <v>1392604.7348357141</v>
      </c>
      <c r="F56" s="92" cm="1">
        <f t="array" ref="F56">(VLOOKUP($B56,$E$8:$G$32,3,0)*(-(VLOOKUP(F$50,$E$8:$G$32,3,0))))/SUMPRODUCT(($G$8:$G$32&gt;0)*($G$8:$G$32))</f>
        <v>23909.483604487767</v>
      </c>
      <c r="G56" s="92" cm="1">
        <f t="array" ref="G56">(VLOOKUP($B56,$E$8:$G$32,3,0)*(-(VLOOKUP(G$50,$E$8:$G$32,3,0))))/SUMPRODUCT(($G$8:$G$32&gt;0)*($G$8:$G$32))</f>
        <v>39407.653295327684</v>
      </c>
      <c r="H56" s="92" cm="1">
        <f t="array" ref="H56">(VLOOKUP($B56,$E$8:$G$32,3,0)*(-(VLOOKUP(H$50,$E$8:$G$32,3,0))))/SUMPRODUCT(($G$8:$G$32&gt;0)*($G$8:$G$32))</f>
        <v>1927.4932526888203</v>
      </c>
      <c r="I56" s="92" cm="1">
        <f t="array" ref="I56">(VLOOKUP($B56,$E$8:$G$32,3,0)*(-(VLOOKUP(I$50,$E$8:$G$32,3,0))))/SUMPRODUCT(($G$8:$G$32&gt;0)*($G$8:$G$32))</f>
        <v>270375.12134310225</v>
      </c>
      <c r="J56" s="92" cm="1">
        <f t="array" ref="J56">(VLOOKUP($B56,$E$8:$G$32,3,0)*(-(VLOOKUP(J$50,$E$8:$G$32,3,0))))/SUMPRODUCT(($G$8:$G$32&gt;0)*($G$8:$G$32))</f>
        <v>759820.95554000931</v>
      </c>
      <c r="K56" s="92" cm="1">
        <f t="array" ref="K56">(VLOOKUP($B56,$E$8:$G$32,3,0)*(-(VLOOKUP(K$50,$E$8:$G$32,3,0))))/SUMPRODUCT(($G$8:$G$32&gt;0)*($G$8:$G$32))</f>
        <v>1011319.452329226</v>
      </c>
      <c r="L56" s="92" cm="1">
        <f t="array" ref="L56">(VLOOKUP($B56,$E$8:$G$32,3,0)*(-(VLOOKUP(L$50,$E$8:$G$32,3,0))))/SUMPRODUCT(($G$8:$G$32&gt;0)*($G$8:$G$32))</f>
        <v>182882.21897487642</v>
      </c>
      <c r="M56" s="92" cm="1">
        <f t="array" ref="M56">(VLOOKUP($B56,$E$8:$G$32,3,0)*(-(VLOOKUP(M$50,$E$8:$G$32,3,0))))/SUMPRODUCT(($G$8:$G$32&gt;0)*($G$8:$G$32))</f>
        <v>50265.997407888754</v>
      </c>
      <c r="N56" s="92" cm="1">
        <f t="array" ref="N56">(VLOOKUP($B56,$E$8:$G$32,3,0)*(-(VLOOKUP(N$50,$E$8:$G$32,3,0))))/SUMPRODUCT(($G$8:$G$32&gt;0)*($G$8:$G$32))</f>
        <v>10392.94084022395</v>
      </c>
      <c r="O56" s="92" cm="1">
        <f t="array" ref="O56">(VLOOKUP($B56,$E$8:$G$32,3,0)*(-(VLOOKUP(O$50,$E$8:$G$32,3,0))))/SUMPRODUCT(($G$8:$G$32&gt;0)*($G$8:$G$32))</f>
        <v>87505.547205286901</v>
      </c>
      <c r="P56" s="93">
        <f t="shared" si="1"/>
        <v>3912282.8034776333</v>
      </c>
    </row>
    <row r="57" spans="2:17" x14ac:dyDescent="0.3">
      <c r="B57" s="64" t="s">
        <v>38</v>
      </c>
      <c r="C57" s="92" cm="1">
        <f t="array" ref="C57">(VLOOKUP($B57,$E$8:$G$32,3,0)*(-(VLOOKUP(C$50,$E$8:$G$32,3,0))))/SUMPRODUCT(($G$8:$G$32&gt;0)*($G$8:$G$32))</f>
        <v>728.20683189435579</v>
      </c>
      <c r="D57" s="92" cm="1">
        <f t="array" ref="D57">(VLOOKUP($B57,$E$8:$G$32,3,0)*(-(VLOOKUP(D$50,$E$8:$G$32,3,0))))/SUMPRODUCT(($G$8:$G$32&gt;0)*($G$8:$G$32))</f>
        <v>68450.087825146373</v>
      </c>
      <c r="E57" s="92" cm="1">
        <f t="array" ref="E57">(VLOOKUP($B57,$E$8:$G$32,3,0)*(-(VLOOKUP(E$50,$E$8:$G$32,3,0))))/SUMPRODUCT(($G$8:$G$32&gt;0)*($G$8:$G$32))</f>
        <v>1176702.1245768897</v>
      </c>
      <c r="F57" s="92" cm="1">
        <f t="array" ref="F57">(VLOOKUP($B57,$E$8:$G$32,3,0)*(-(VLOOKUP(F$50,$E$8:$G$32,3,0))))/SUMPRODUCT(($G$8:$G$32&gt;0)*($G$8:$G$32))</f>
        <v>20202.674492741891</v>
      </c>
      <c r="G57" s="92" cm="1">
        <f t="array" ref="G57">(VLOOKUP($B57,$E$8:$G$32,3,0)*(-(VLOOKUP(G$50,$E$8:$G$32,3,0))))/SUMPRODUCT(($G$8:$G$32&gt;0)*($G$8:$G$32))</f>
        <v>33298.083941005672</v>
      </c>
      <c r="H57" s="92" cm="1">
        <f t="array" ref="H57">(VLOOKUP($B57,$E$8:$G$32,3,0)*(-(VLOOKUP(H$50,$E$8:$G$32,3,0))))/SUMPRODUCT(($G$8:$G$32&gt;0)*($G$8:$G$32))</f>
        <v>1628.6641491378537</v>
      </c>
      <c r="I57" s="92" cm="1">
        <f t="array" ref="I57">(VLOOKUP($B57,$E$8:$G$32,3,0)*(-(VLOOKUP(I$50,$E$8:$G$32,3,0))))/SUMPRODUCT(($G$8:$G$32&gt;0)*($G$8:$G$32))</f>
        <v>228457.48815775436</v>
      </c>
      <c r="J57" s="92" cm="1">
        <f t="array" ref="J57">(VLOOKUP($B57,$E$8:$G$32,3,0)*(-(VLOOKUP(J$50,$E$8:$G$32,3,0))))/SUMPRODUCT(($G$8:$G$32&gt;0)*($G$8:$G$32))</f>
        <v>642022.03993471735</v>
      </c>
      <c r="K57" s="92" cm="1">
        <f t="array" ref="K57">(VLOOKUP($B57,$E$8:$G$32,3,0)*(-(VLOOKUP(K$50,$E$8:$G$32,3,0))))/SUMPRODUCT(($G$8:$G$32&gt;0)*($G$8:$G$32))</f>
        <v>854529.44285883382</v>
      </c>
      <c r="L57" s="92" cm="1">
        <f t="array" ref="L57">(VLOOKUP($B57,$E$8:$G$32,3,0)*(-(VLOOKUP(L$50,$E$8:$G$32,3,0))))/SUMPRODUCT(($G$8:$G$32&gt;0)*($G$8:$G$32))</f>
        <v>154529.05640196605</v>
      </c>
      <c r="M57" s="92" cm="1">
        <f t="array" ref="M57">(VLOOKUP($B57,$E$8:$G$32,3,0)*(-(VLOOKUP(M$50,$E$8:$G$32,3,0))))/SUMPRODUCT(($G$8:$G$32&gt;0)*($G$8:$G$32))</f>
        <v>42473.003619951684</v>
      </c>
      <c r="N57" s="92" cm="1">
        <f t="array" ref="N57">(VLOOKUP($B57,$E$8:$G$32,3,0)*(-(VLOOKUP(N$50,$E$8:$G$32,3,0))))/SUMPRODUCT(($G$8:$G$32&gt;0)*($G$8:$G$32))</f>
        <v>8781.6702481168504</v>
      </c>
      <c r="O57" s="92" cm="1">
        <f t="array" ref="O57">(VLOOKUP($B57,$E$8:$G$32,3,0)*(-(VLOOKUP(O$50,$E$8:$G$32,3,0))))/SUMPRODUCT(($G$8:$G$32&gt;0)*($G$8:$G$32))</f>
        <v>73939.116199308031</v>
      </c>
      <c r="P57" s="93">
        <f t="shared" si="1"/>
        <v>3305741.659237464</v>
      </c>
    </row>
    <row r="58" spans="2:17" x14ac:dyDescent="0.3">
      <c r="B58" s="64" t="s">
        <v>40</v>
      </c>
      <c r="C58" s="92" cm="1">
        <f t="array" ref="C58">(VLOOKUP($B58,$E$8:$G$32,3,0)*(-(VLOOKUP(C$50,$E$8:$G$32,3,0))))/SUMPRODUCT(($G$8:$G$32&gt;0)*($G$8:$G$32))</f>
        <v>1122.1655496620433</v>
      </c>
      <c r="D58" s="92" cm="1">
        <f t="array" ref="D58">(VLOOKUP($B58,$E$8:$G$32,3,0)*(-(VLOOKUP(D$50,$E$8:$G$32,3,0))))/SUMPRODUCT(($G$8:$G$32&gt;0)*($G$8:$G$32))</f>
        <v>105481.47458174911</v>
      </c>
      <c r="E58" s="92" cm="1">
        <f t="array" ref="E58">(VLOOKUP($B58,$E$8:$G$32,3,0)*(-(VLOOKUP(E$50,$E$8:$G$32,3,0))))/SUMPRODUCT(($G$8:$G$32&gt;0)*($G$8:$G$32))</f>
        <v>1813296.0699905714</v>
      </c>
      <c r="F58" s="92" cm="1">
        <f t="array" ref="F58">(VLOOKUP($B58,$E$8:$G$32,3,0)*(-(VLOOKUP(F$50,$E$8:$G$32,3,0))))/SUMPRODUCT(($G$8:$G$32&gt;0)*($G$8:$G$32))</f>
        <v>31132.288704042257</v>
      </c>
      <c r="G58" s="92" cm="1">
        <f t="array" ref="G58">(VLOOKUP($B58,$E$8:$G$32,3,0)*(-(VLOOKUP(G$50,$E$8:$G$32,3,0))))/SUMPRODUCT(($G$8:$G$32&gt;0)*($G$8:$G$32))</f>
        <v>51312.29347457199</v>
      </c>
      <c r="H58" s="92" cm="1">
        <f t="array" ref="H58">(VLOOKUP($B58,$E$8:$G$32,3,0)*(-(VLOOKUP(H$50,$E$8:$G$32,3,0))))/SUMPRODUCT(($G$8:$G$32&gt;0)*($G$8:$G$32))</f>
        <v>2509.7688185343563</v>
      </c>
      <c r="I58" s="92" cm="1">
        <f t="array" ref="I58">(VLOOKUP($B58,$E$8:$G$32,3,0)*(-(VLOOKUP(I$50,$E$8:$G$32,3,0))))/SUMPRODUCT(($G$8:$G$32&gt;0)*($G$8:$G$32))</f>
        <v>352052.61959166644</v>
      </c>
      <c r="J58" s="92" cm="1">
        <f t="array" ref="J58">(VLOOKUP($B58,$E$8:$G$32,3,0)*(-(VLOOKUP(J$50,$E$8:$G$32,3,0))))/SUMPRODUCT(($G$8:$G$32&gt;0)*($G$8:$G$32))</f>
        <v>989354.92470497475</v>
      </c>
      <c r="K58" s="92" cm="1">
        <f t="array" ref="K58">(VLOOKUP($B58,$E$8:$G$32,3,0)*(-(VLOOKUP(K$50,$E$8:$G$32,3,0))))/SUMPRODUCT(($G$8:$G$32&gt;0)*($G$8:$G$32))</f>
        <v>1316828.4887599053</v>
      </c>
      <c r="L58" s="92" cm="1">
        <f t="array" ref="L58">(VLOOKUP($B58,$E$8:$G$32,3,0)*(-(VLOOKUP(L$50,$E$8:$G$32,3,0))))/SUMPRODUCT(($G$8:$G$32&gt;0)*($G$8:$G$32))</f>
        <v>238129.02587712352</v>
      </c>
      <c r="M58" s="92" cm="1">
        <f t="array" ref="M58">(VLOOKUP($B58,$E$8:$G$32,3,0)*(-(VLOOKUP(M$50,$E$8:$G$32,3,0))))/SUMPRODUCT(($G$8:$G$32&gt;0)*($G$8:$G$32))</f>
        <v>65450.829854196614</v>
      </c>
      <c r="N58" s="92" cm="1">
        <f t="array" ref="N58">(VLOOKUP($B58,$E$8:$G$32,3,0)*(-(VLOOKUP(N$50,$E$8:$G$32,3,0))))/SUMPRODUCT(($G$8:$G$32&gt;0)*($G$8:$G$32))</f>
        <v>13532.539643020673</v>
      </c>
      <c r="O58" s="92" cm="1">
        <f t="array" ref="O58">(VLOOKUP($B58,$E$8:$G$32,3,0)*(-(VLOOKUP(O$50,$E$8:$G$32,3,0))))/SUMPRODUCT(($G$8:$G$32&gt;0)*($G$8:$G$32))</f>
        <v>113940.05842471871</v>
      </c>
      <c r="P58" s="93">
        <f t="shared" si="1"/>
        <v>5094142.5479747374</v>
      </c>
    </row>
    <row r="59" spans="2:17" x14ac:dyDescent="0.3">
      <c r="B59" s="64" t="s">
        <v>41</v>
      </c>
      <c r="C59" s="92" cm="1">
        <f t="array" ref="C59">(VLOOKUP($B59,$E$8:$G$32,3,0)*(-(VLOOKUP(C$50,$E$8:$G$32,3,0))))/SUMPRODUCT(($G$8:$G$32&gt;0)*($G$8:$G$32))</f>
        <v>3010.875112708608</v>
      </c>
      <c r="D59" s="92" cm="1">
        <f t="array" ref="D59">(VLOOKUP($B59,$E$8:$G$32,3,0)*(-(VLOOKUP(D$50,$E$8:$G$32,3,0))))/SUMPRODUCT(($G$8:$G$32&gt;0)*($G$8:$G$32))</f>
        <v>283016.6607463946</v>
      </c>
      <c r="E59" s="92" cm="1">
        <f t="array" ref="E59">(VLOOKUP($B59,$E$8:$G$32,3,0)*(-(VLOOKUP(E$50,$E$8:$G$32,3,0))))/SUMPRODUCT(($G$8:$G$32&gt;0)*($G$8:$G$32))</f>
        <v>4865242.9320710991</v>
      </c>
      <c r="F59" s="92" cm="1">
        <f t="array" ref="F59">(VLOOKUP($B59,$E$8:$G$32,3,0)*(-(VLOOKUP(F$50,$E$8:$G$32,3,0))))/SUMPRODUCT(($G$8:$G$32&gt;0)*($G$8:$G$32))</f>
        <v>83530.842030295738</v>
      </c>
      <c r="G59" s="92" cm="1">
        <f t="array" ref="G59">(VLOOKUP($B59,$E$8:$G$32,3,0)*(-(VLOOKUP(G$50,$E$8:$G$32,3,0))))/SUMPRODUCT(($G$8:$G$32&gt;0)*($G$8:$G$32))</f>
        <v>137675.68202848278</v>
      </c>
      <c r="H59" s="92" cm="1">
        <f t="array" ref="H59">(VLOOKUP($B59,$E$8:$G$32,3,0)*(-(VLOOKUP(H$50,$E$8:$G$32,3,0))))/SUMPRODUCT(($G$8:$G$32&gt;0)*($G$8:$G$32))</f>
        <v>6733.944449330992</v>
      </c>
      <c r="I59" s="92" cm="1">
        <f t="array" ref="I59">(VLOOKUP($B59,$E$8:$G$32,3,0)*(-(VLOOKUP(I$50,$E$8:$G$32,3,0))))/SUMPRODUCT(($G$8:$G$32&gt;0)*($G$8:$G$32))</f>
        <v>944590.10171150742</v>
      </c>
      <c r="J59" s="92" cm="1">
        <f t="array" ref="J59">(VLOOKUP($B59,$E$8:$G$32,3,0)*(-(VLOOKUP(J$50,$E$8:$G$32,3,0))))/SUMPRODUCT(($G$8:$G$32&gt;0)*($G$8:$G$32))</f>
        <v>2654531.7857307447</v>
      </c>
      <c r="K59" s="92" cm="1">
        <f t="array" ref="K59">(VLOOKUP($B59,$E$8:$G$32,3,0)*(-(VLOOKUP(K$50,$E$8:$G$32,3,0))))/SUMPRODUCT(($G$8:$G$32&gt;0)*($G$8:$G$32))</f>
        <v>3533173.9828467784</v>
      </c>
      <c r="L59" s="92" cm="1">
        <f t="array" ref="L59">(VLOOKUP($B59,$E$8:$G$32,3,0)*(-(VLOOKUP(L$50,$E$8:$G$32,3,0))))/SUMPRODUCT(($G$8:$G$32&gt;0)*($G$8:$G$32))</f>
        <v>638922.44583956734</v>
      </c>
      <c r="M59" s="92" cm="1">
        <f t="array" ref="M59">(VLOOKUP($B59,$E$8:$G$32,3,0)*(-(VLOOKUP(M$50,$E$8:$G$32,3,0))))/SUMPRODUCT(($G$8:$G$32&gt;0)*($G$8:$G$32))</f>
        <v>175610.69734628277</v>
      </c>
      <c r="N59" s="92" cm="1">
        <f t="array" ref="N59">(VLOOKUP($B59,$E$8:$G$32,3,0)*(-(VLOOKUP(N$50,$E$8:$G$32,3,0))))/SUMPRODUCT(($G$8:$G$32&gt;0)*($G$8:$G$32))</f>
        <v>36309.069401733519</v>
      </c>
      <c r="O59" s="92" cm="1">
        <f t="array" ref="O59">(VLOOKUP($B59,$E$8:$G$32,3,0)*(-(VLOOKUP(O$50,$E$8:$G$32,3,0))))/SUMPRODUCT(($G$8:$G$32&gt;0)*($G$8:$G$32))</f>
        <v>305711.83222909278</v>
      </c>
      <c r="P59" s="93">
        <f t="shared" si="1"/>
        <v>13668060.851544019</v>
      </c>
    </row>
    <row r="60" spans="2:17" x14ac:dyDescent="0.3">
      <c r="B60" s="64" t="s">
        <v>43</v>
      </c>
      <c r="C60" s="92" cm="1">
        <f t="array" ref="C60">(VLOOKUP($B60,$E$8:$G$32,3,0)*(-(VLOOKUP(C$50,$E$8:$G$32,3,0))))/SUMPRODUCT(($G$8:$G$32&gt;0)*($G$8:$G$32))</f>
        <v>2034.9497785577348</v>
      </c>
      <c r="D60" s="92" cm="1">
        <f t="array" ref="D60">(VLOOKUP($B60,$E$8:$G$32,3,0)*(-(VLOOKUP(D$50,$E$8:$G$32,3,0))))/SUMPRODUCT(($G$8:$G$32&gt;0)*($G$8:$G$32))</f>
        <v>191281.494434327</v>
      </c>
      <c r="E60" s="92" cm="1">
        <f t="array" ref="E60">(VLOOKUP($B60,$E$8:$G$32,3,0)*(-(VLOOKUP(E$50,$E$8:$G$32,3,0))))/SUMPRODUCT(($G$8:$G$32&gt;0)*($G$8:$G$32))</f>
        <v>3288254.961309595</v>
      </c>
      <c r="F60" s="92" cm="1">
        <f t="array" ref="F60">(VLOOKUP($B60,$E$8:$G$32,3,0)*(-(VLOOKUP(F$50,$E$8:$G$32,3,0))))/SUMPRODUCT(($G$8:$G$32&gt;0)*($G$8:$G$32))</f>
        <v>56455.702122887153</v>
      </c>
      <c r="G60" s="92" cm="1">
        <f t="array" ref="G60">(VLOOKUP($B60,$E$8:$G$32,3,0)*(-(VLOOKUP(G$50,$E$8:$G$32,3,0))))/SUMPRODUCT(($G$8:$G$32&gt;0)*($G$8:$G$32))</f>
        <v>93050.388398411247</v>
      </c>
      <c r="H60" s="92" cm="1">
        <f t="array" ref="H60">(VLOOKUP($B60,$E$8:$G$32,3,0)*(-(VLOOKUP(H$50,$E$8:$G$32,3,0))))/SUMPRODUCT(($G$8:$G$32&gt;0)*($G$8:$G$32))</f>
        <v>4551.2478110254942</v>
      </c>
      <c r="I60" s="92" cm="1">
        <f t="array" ref="I60">(VLOOKUP($B60,$E$8:$G$32,3,0)*(-(VLOOKUP(I$50,$E$8:$G$32,3,0))))/SUMPRODUCT(($G$8:$G$32&gt;0)*($G$8:$G$32))</f>
        <v>638416.8543531649</v>
      </c>
      <c r="J60" s="92" cm="1">
        <f t="array" ref="J60">(VLOOKUP($B60,$E$8:$G$32,3,0)*(-(VLOOKUP(J$50,$E$8:$G$32,3,0))))/SUMPRODUCT(($G$8:$G$32&gt;0)*($G$8:$G$32))</f>
        <v>1794109.2431056397</v>
      </c>
      <c r="K60" s="92" cm="1">
        <f t="array" ref="K60">(VLOOKUP($B60,$E$8:$G$32,3,0)*(-(VLOOKUP(K$50,$E$8:$G$32,3,0))))/SUMPRODUCT(($G$8:$G$32&gt;0)*($G$8:$G$32))</f>
        <v>2387954.1146201743</v>
      </c>
      <c r="L60" s="92" cm="1">
        <f t="array" ref="L60">(VLOOKUP($B60,$E$8:$G$32,3,0)*(-(VLOOKUP(L$50,$E$8:$G$32,3,0))))/SUMPRODUCT(($G$8:$G$32&gt;0)*($G$8:$G$32))</f>
        <v>431826.30996180559</v>
      </c>
      <c r="M60" s="92" cm="1">
        <f t="array" ref="M60">(VLOOKUP($B60,$E$8:$G$32,3,0)*(-(VLOOKUP(M$50,$E$8:$G$32,3,0))))/SUMPRODUCT(($G$8:$G$32&gt;0)*($G$8:$G$32))</f>
        <v>118689.39637144381</v>
      </c>
      <c r="N60" s="92" cm="1">
        <f t="array" ref="N60">(VLOOKUP($B60,$E$8:$G$32,3,0)*(-(VLOOKUP(N$50,$E$8:$G$32,3,0))))/SUMPRODUCT(($G$8:$G$32&gt;0)*($G$8:$G$32))</f>
        <v>24540.085514282779</v>
      </c>
      <c r="O60" s="92" cm="1">
        <f t="array" ref="O60">(VLOOKUP($B60,$E$8:$G$32,3,0)*(-(VLOOKUP(O$50,$E$8:$G$32,3,0))))/SUMPRODUCT(($G$8:$G$32&gt;0)*($G$8:$G$32))</f>
        <v>206620.40171351313</v>
      </c>
      <c r="P60" s="93">
        <f t="shared" si="1"/>
        <v>9237785.1494948287</v>
      </c>
    </row>
    <row r="61" spans="2:17" x14ac:dyDescent="0.3">
      <c r="B61" s="64" t="s">
        <v>49</v>
      </c>
      <c r="C61" s="92" cm="1">
        <f t="array" ref="C61">(VLOOKUP($B61,$E$8:$G$32,3,0)*(-(VLOOKUP(C$50,$E$8:$G$32,3,0))))/SUMPRODUCT(($G$8:$G$32&gt;0)*($G$8:$G$32))</f>
        <v>0</v>
      </c>
      <c r="D61" s="92" cm="1">
        <f t="array" ref="D61">(VLOOKUP($B61,$E$8:$G$32,3,0)*(-(VLOOKUP(D$50,$E$8:$G$32,3,0))))/SUMPRODUCT(($G$8:$G$32&gt;0)*($G$8:$G$32))</f>
        <v>0</v>
      </c>
      <c r="E61" s="92" cm="1">
        <f t="array" ref="E61">(VLOOKUP($B61,$E$8:$G$32,3,0)*(-(VLOOKUP(E$50,$E$8:$G$32,3,0))))/SUMPRODUCT(($G$8:$G$32&gt;0)*($G$8:$G$32))</f>
        <v>0</v>
      </c>
      <c r="F61" s="92" cm="1">
        <f t="array" ref="F61">(VLOOKUP($B61,$E$8:$G$32,3,0)*(-(VLOOKUP(F$50,$E$8:$G$32,3,0))))/SUMPRODUCT(($G$8:$G$32&gt;0)*($G$8:$G$32))</f>
        <v>0</v>
      </c>
      <c r="G61" s="92" cm="1">
        <f t="array" ref="G61">(VLOOKUP($B61,$E$8:$G$32,3,0)*(-(VLOOKUP(G$50,$E$8:$G$32,3,0))))/SUMPRODUCT(($G$8:$G$32&gt;0)*($G$8:$G$32))</f>
        <v>0</v>
      </c>
      <c r="H61" s="92" cm="1">
        <f t="array" ref="H61">(VLOOKUP($B61,$E$8:$G$32,3,0)*(-(VLOOKUP(H$50,$E$8:$G$32,3,0))))/SUMPRODUCT(($G$8:$G$32&gt;0)*($G$8:$G$32))</f>
        <v>0</v>
      </c>
      <c r="I61" s="92" cm="1">
        <f t="array" ref="I61">(VLOOKUP($B61,$E$8:$G$32,3,0)*(-(VLOOKUP(I$50,$E$8:$G$32,3,0))))/SUMPRODUCT(($G$8:$G$32&gt;0)*($G$8:$G$32))</f>
        <v>0</v>
      </c>
      <c r="J61" s="92" cm="1">
        <f t="array" ref="J61">(VLOOKUP($B61,$E$8:$G$32,3,0)*(-(VLOOKUP(J$50,$E$8:$G$32,3,0))))/SUMPRODUCT(($G$8:$G$32&gt;0)*($G$8:$G$32))</f>
        <v>0</v>
      </c>
      <c r="K61" s="92" cm="1">
        <f t="array" ref="K61">(VLOOKUP($B61,$E$8:$G$32,3,0)*(-(VLOOKUP(K$50,$E$8:$G$32,3,0))))/SUMPRODUCT(($G$8:$G$32&gt;0)*($G$8:$G$32))</f>
        <v>0</v>
      </c>
      <c r="L61" s="92" cm="1">
        <f t="array" ref="L61">(VLOOKUP($B61,$E$8:$G$32,3,0)*(-(VLOOKUP(L$50,$E$8:$G$32,3,0))))/SUMPRODUCT(($G$8:$G$32&gt;0)*($G$8:$G$32))</f>
        <v>0</v>
      </c>
      <c r="M61" s="92" cm="1">
        <f t="array" ref="M61">(VLOOKUP($B61,$E$8:$G$32,3,0)*(-(VLOOKUP(M$50,$E$8:$G$32,3,0))))/SUMPRODUCT(($G$8:$G$32&gt;0)*($G$8:$G$32))</f>
        <v>0</v>
      </c>
      <c r="N61" s="92" cm="1">
        <f t="array" ref="N61">(VLOOKUP($B61,$E$8:$G$32,3,0)*(-(VLOOKUP(N$50,$E$8:$G$32,3,0))))/SUMPRODUCT(($G$8:$G$32&gt;0)*($G$8:$G$32))</f>
        <v>0</v>
      </c>
      <c r="O61" s="92" cm="1">
        <f t="array" ref="O61">(VLOOKUP($B61,$E$8:$G$32,3,0)*(-(VLOOKUP(O$50,$E$8:$G$32,3,0))))/SUMPRODUCT(($G$8:$G$32&gt;0)*($G$8:$G$32))</f>
        <v>0</v>
      </c>
      <c r="P61" s="93">
        <f t="shared" si="1"/>
        <v>0</v>
      </c>
    </row>
    <row r="62" spans="2:17" x14ac:dyDescent="0.3">
      <c r="B62" s="64" t="s">
        <v>50</v>
      </c>
      <c r="C62" s="92" cm="1">
        <f t="array" ref="C62">(VLOOKUP($B62,$E$8:$G$32,3,0)*(-(VLOOKUP(C$50,$E$8:$G$32,3,0))))/SUMPRODUCT(($G$8:$G$32&gt;0)*($G$8:$G$32))</f>
        <v>0</v>
      </c>
      <c r="D62" s="92" cm="1">
        <f t="array" ref="D62">(VLOOKUP($B62,$E$8:$G$32,3,0)*(-(VLOOKUP(D$50,$E$8:$G$32,3,0))))/SUMPRODUCT(($G$8:$G$32&gt;0)*($G$8:$G$32))</f>
        <v>0</v>
      </c>
      <c r="E62" s="92" cm="1">
        <f t="array" ref="E62">(VLOOKUP($B62,$E$8:$G$32,3,0)*(-(VLOOKUP(E$50,$E$8:$G$32,3,0))))/SUMPRODUCT(($G$8:$G$32&gt;0)*($G$8:$G$32))</f>
        <v>0</v>
      </c>
      <c r="F62" s="92" cm="1">
        <f t="array" ref="F62">(VLOOKUP($B62,$E$8:$G$32,3,0)*(-(VLOOKUP(F$50,$E$8:$G$32,3,0))))/SUMPRODUCT(($G$8:$G$32&gt;0)*($G$8:$G$32))</f>
        <v>0</v>
      </c>
      <c r="G62" s="92" cm="1">
        <f t="array" ref="G62">(VLOOKUP($B62,$E$8:$G$32,3,0)*(-(VLOOKUP(G$50,$E$8:$G$32,3,0))))/SUMPRODUCT(($G$8:$G$32&gt;0)*($G$8:$G$32))</f>
        <v>0</v>
      </c>
      <c r="H62" s="92" cm="1">
        <f t="array" ref="H62">(VLOOKUP($B62,$E$8:$G$32,3,0)*(-(VLOOKUP(H$50,$E$8:$G$32,3,0))))/SUMPRODUCT(($G$8:$G$32&gt;0)*($G$8:$G$32))</f>
        <v>0</v>
      </c>
      <c r="I62" s="92" cm="1">
        <f t="array" ref="I62">(VLOOKUP($B62,$E$8:$G$32,3,0)*(-(VLOOKUP(I$50,$E$8:$G$32,3,0))))/SUMPRODUCT(($G$8:$G$32&gt;0)*($G$8:$G$32))</f>
        <v>0</v>
      </c>
      <c r="J62" s="92" cm="1">
        <f t="array" ref="J62">(VLOOKUP($B62,$E$8:$G$32,3,0)*(-(VLOOKUP(J$50,$E$8:$G$32,3,0))))/SUMPRODUCT(($G$8:$G$32&gt;0)*($G$8:$G$32))</f>
        <v>0</v>
      </c>
      <c r="K62" s="92" cm="1">
        <f t="array" ref="K62">(VLOOKUP($B62,$E$8:$G$32,3,0)*(-(VLOOKUP(K$50,$E$8:$G$32,3,0))))/SUMPRODUCT(($G$8:$G$32&gt;0)*($G$8:$G$32))</f>
        <v>0</v>
      </c>
      <c r="L62" s="92" cm="1">
        <f t="array" ref="L62">(VLOOKUP($B62,$E$8:$G$32,3,0)*(-(VLOOKUP(L$50,$E$8:$G$32,3,0))))/SUMPRODUCT(($G$8:$G$32&gt;0)*($G$8:$G$32))</f>
        <v>0</v>
      </c>
      <c r="M62" s="92" cm="1">
        <f t="array" ref="M62">(VLOOKUP($B62,$E$8:$G$32,3,0)*(-(VLOOKUP(M$50,$E$8:$G$32,3,0))))/SUMPRODUCT(($G$8:$G$32&gt;0)*($G$8:$G$32))</f>
        <v>0</v>
      </c>
      <c r="N62" s="92" cm="1">
        <f t="array" ref="N62">(VLOOKUP($B62,$E$8:$G$32,3,0)*(-(VLOOKUP(N$50,$E$8:$G$32,3,0))))/SUMPRODUCT(($G$8:$G$32&gt;0)*($G$8:$G$32))</f>
        <v>0</v>
      </c>
      <c r="O62" s="92" cm="1">
        <f t="array" ref="O62">(VLOOKUP($B62,$E$8:$G$32,3,0)*(-(VLOOKUP(O$50,$E$8:$G$32,3,0))))/SUMPRODUCT(($G$8:$G$32&gt;0)*($G$8:$G$32))</f>
        <v>0</v>
      </c>
      <c r="P62" s="93">
        <f t="shared" si="1"/>
        <v>0</v>
      </c>
    </row>
    <row r="63" spans="2:17" x14ac:dyDescent="0.3">
      <c r="B63" s="94" t="s">
        <v>52</v>
      </c>
      <c r="C63" s="95">
        <f t="shared" ref="C63:P63" si="2">SUM(C51:C62)</f>
        <v>189593.24317377762</v>
      </c>
      <c r="D63" s="95">
        <f t="shared" si="2"/>
        <v>17821412.238799404</v>
      </c>
      <c r="E63" s="95">
        <f t="shared" si="2"/>
        <v>306361822.32408994</v>
      </c>
      <c r="F63" s="95">
        <f t="shared" si="2"/>
        <v>5259893.7693278426</v>
      </c>
      <c r="G63" s="95">
        <f t="shared" si="2"/>
        <v>8669366.2423148192</v>
      </c>
      <c r="H63" s="95">
        <f t="shared" si="2"/>
        <v>424032.98699167295</v>
      </c>
      <c r="I63" s="95">
        <f t="shared" si="2"/>
        <v>59480348.453318693</v>
      </c>
      <c r="J63" s="95">
        <f t="shared" si="2"/>
        <v>167154488.81963605</v>
      </c>
      <c r="K63" s="95">
        <f t="shared" si="2"/>
        <v>222482131.9481819</v>
      </c>
      <c r="L63" s="95">
        <f t="shared" si="2"/>
        <v>40232614.807550579</v>
      </c>
      <c r="M63" s="95">
        <f t="shared" si="2"/>
        <v>11058114.468234576</v>
      </c>
      <c r="N63" s="95">
        <f t="shared" si="2"/>
        <v>2286363.2554668039</v>
      </c>
      <c r="O63" s="95">
        <f t="shared" si="2"/>
        <v>19250515.408050057</v>
      </c>
      <c r="P63" s="65">
        <f t="shared" si="2"/>
        <v>860670697.96513605</v>
      </c>
    </row>
    <row r="64" spans="2:17" x14ac:dyDescent="0.3">
      <c r="B64" s="40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Q64" s="14"/>
    </row>
    <row r="65" spans="2:16" x14ac:dyDescent="0.3">
      <c r="B65" s="40"/>
      <c r="C65" s="96"/>
      <c r="D65" s="96"/>
      <c r="E65" s="96"/>
      <c r="F65" s="96"/>
      <c r="G65" s="96"/>
      <c r="H65" s="40"/>
      <c r="I65" s="40"/>
      <c r="J65" s="40"/>
      <c r="K65" s="40"/>
      <c r="L65" s="40"/>
      <c r="M65" s="40"/>
      <c r="N65" s="40"/>
      <c r="O65" s="40"/>
      <c r="P65" s="67" cm="1">
        <f t="array" ref="P65">-SUMPRODUCT(($G$8:$G$32&lt;0)*($G$8:$G$32))</f>
        <v>860670697.96513605</v>
      </c>
    </row>
    <row r="66" spans="2:16" x14ac:dyDescent="0.3">
      <c r="B66" s="40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68">
        <f>P63-P65</f>
        <v>0</v>
      </c>
    </row>
    <row r="67" spans="2:16" x14ac:dyDescent="0.3">
      <c r="B67" s="40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68">
        <f>P63-J6</f>
        <v>0</v>
      </c>
    </row>
    <row r="81" spans="4:7" x14ac:dyDescent="0.3">
      <c r="D81" s="40"/>
      <c r="E81" s="40"/>
      <c r="F81" s="40"/>
      <c r="G81" s="40"/>
    </row>
  </sheetData>
  <mergeCells count="10">
    <mergeCell ref="J6:J7"/>
    <mergeCell ref="B49:B50"/>
    <mergeCell ref="C49:N49"/>
    <mergeCell ref="P49:P50"/>
    <mergeCell ref="B6:B7"/>
    <mergeCell ref="C6:C7"/>
    <mergeCell ref="E6:E7"/>
    <mergeCell ref="F6:F7"/>
    <mergeCell ref="G6:G7"/>
    <mergeCell ref="I6:I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B395A-1AC2-4454-A676-7641D49E70D3}">
  <sheetPr codeName="Hoja12">
    <tabColor theme="7" tint="0.79998168889431442"/>
  </sheetPr>
  <dimension ref="B2:Q52"/>
  <sheetViews>
    <sheetView showGridLines="0" zoomScale="60" zoomScaleNormal="60" workbookViewId="0">
      <selection activeCell="H9" sqref="H9"/>
    </sheetView>
  </sheetViews>
  <sheetFormatPr baseColWidth="10" defaultColWidth="11.3984375" defaultRowHeight="13" x14ac:dyDescent="0.3"/>
  <cols>
    <col min="1" max="1" width="6.59765625" style="17" customWidth="1"/>
    <col min="2" max="2" width="24.8984375" style="17" customWidth="1"/>
    <col min="3" max="3" width="11.59765625" style="17" bestFit="1" customWidth="1"/>
    <col min="4" max="4" width="13.09765625" style="17" bestFit="1" customWidth="1"/>
    <col min="5" max="5" width="12.59765625" style="17" customWidth="1"/>
    <col min="6" max="6" width="11.296875" style="17" customWidth="1"/>
    <col min="7" max="7" width="12.09765625" style="17" bestFit="1" customWidth="1"/>
    <col min="8" max="8" width="12.59765625" style="17" customWidth="1"/>
    <col min="9" max="9" width="13.8984375" style="17" customWidth="1"/>
    <col min="10" max="10" width="12.8984375" style="17" customWidth="1"/>
    <col min="11" max="11" width="13.8984375" style="17" customWidth="1"/>
    <col min="12" max="12" width="14.19921875" style="17" customWidth="1"/>
    <col min="13" max="13" width="11.59765625" style="17" bestFit="1" customWidth="1"/>
    <col min="14" max="14" width="14.3984375" style="17" customWidth="1"/>
    <col min="15" max="15" width="15.3984375" style="17" customWidth="1"/>
    <col min="16" max="16" width="11.69921875" style="17" customWidth="1"/>
    <col min="17" max="17" width="12.3984375" style="17" bestFit="1" customWidth="1"/>
    <col min="18" max="18" width="23.8984375" style="17" customWidth="1"/>
    <col min="19" max="16384" width="11.3984375" style="17"/>
  </cols>
  <sheetData>
    <row r="2" spans="2:17" x14ac:dyDescent="0.3">
      <c r="B2" s="16" t="s">
        <v>95</v>
      </c>
      <c r="C2" s="16"/>
      <c r="D2" s="16"/>
    </row>
    <row r="3" spans="2:17" x14ac:dyDescent="0.3">
      <c r="B3" s="18">
        <f>FechaFacturacion</f>
        <v>45778</v>
      </c>
      <c r="C3" s="19"/>
      <c r="D3" s="19"/>
      <c r="I3" s="20" t="s">
        <v>57</v>
      </c>
      <c r="J3" s="21"/>
      <c r="K3" s="21"/>
    </row>
    <row r="4" spans="2:17" x14ac:dyDescent="0.3">
      <c r="B4" s="22"/>
      <c r="D4" s="19"/>
      <c r="I4" s="23">
        <f>'Reliquidación TD'!$I$4</f>
        <v>1.9460661662498158E-3</v>
      </c>
      <c r="J4" s="24"/>
      <c r="K4" s="24"/>
    </row>
    <row r="6" spans="2:17" ht="12.75" customHeight="1" x14ac:dyDescent="0.3">
      <c r="B6" s="105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55</v>
      </c>
      <c r="H6" s="105" t="str">
        <f>"Saldo "&amp;TEXT(B3-1,"mmmmmmmmmm")</f>
        <v>Saldo abril</v>
      </c>
      <c r="I6" s="105" t="s">
        <v>58</v>
      </c>
      <c r="J6" s="105" t="s">
        <v>59</v>
      </c>
      <c r="K6" s="105" t="s">
        <v>60</v>
      </c>
      <c r="L6" s="108" t="s">
        <v>55</v>
      </c>
      <c r="M6" s="105" t="s">
        <v>89</v>
      </c>
      <c r="N6" s="103" t="s">
        <v>90</v>
      </c>
      <c r="O6" s="105" t="s">
        <v>64</v>
      </c>
      <c r="P6" s="105" t="s">
        <v>65</v>
      </c>
    </row>
    <row r="7" spans="2:17" x14ac:dyDescent="0.3">
      <c r="B7" s="109"/>
      <c r="C7" s="106"/>
      <c r="D7" s="106"/>
      <c r="E7" s="106"/>
      <c r="F7" s="106"/>
      <c r="G7" s="106"/>
      <c r="H7" s="107"/>
      <c r="I7" s="106"/>
      <c r="J7" s="106"/>
      <c r="K7" s="106"/>
      <c r="L7" s="108"/>
      <c r="M7" s="106"/>
      <c r="N7" s="104"/>
      <c r="O7" s="106"/>
      <c r="P7" s="106"/>
    </row>
    <row r="8" spans="2:17" ht="13.5" customHeight="1" x14ac:dyDescent="0.3">
      <c r="B8" s="109"/>
      <c r="C8" s="26" t="s">
        <v>12</v>
      </c>
      <c r="D8" s="26" t="s">
        <v>12</v>
      </c>
      <c r="E8" s="26" t="s">
        <v>12</v>
      </c>
      <c r="F8" s="26" t="s">
        <v>12</v>
      </c>
      <c r="G8" s="26" t="s">
        <v>13</v>
      </c>
      <c r="H8" s="26" t="s">
        <v>13</v>
      </c>
      <c r="I8" s="26" t="s">
        <v>13</v>
      </c>
      <c r="J8" s="26" t="s">
        <v>13</v>
      </c>
      <c r="K8" s="26" t="s">
        <v>13</v>
      </c>
      <c r="L8" s="26" t="s">
        <v>13</v>
      </c>
      <c r="M8" s="26" t="s">
        <v>13</v>
      </c>
      <c r="N8" s="28" t="s">
        <v>13</v>
      </c>
      <c r="O8" s="27" t="s">
        <v>13</v>
      </c>
      <c r="P8" s="27" t="s">
        <v>13</v>
      </c>
    </row>
    <row r="9" spans="2:17" x14ac:dyDescent="0.3">
      <c r="B9" s="30" t="s">
        <v>14</v>
      </c>
      <c r="C9" s="31">
        <f>SUMIF('Entrada 7TRAN'!$E$8:$E$43,'Reliquidación 7TRAN'!$B9,'Entrada 7TRAN'!F$8:F$43)</f>
        <v>2403299.85</v>
      </c>
      <c r="D9" s="31">
        <f>SUMIF('Entrada 7TRAN'!$E$8:$E$43,'Reliquidación 7TRAN'!$B9,'Entrada 7TRAN'!G$8:G$43)</f>
        <v>2882503</v>
      </c>
      <c r="E9" s="31">
        <f>SUMIF('Entrada 7TRAN'!$E$8:$E$43,'Reliquidación 7TRAN'!$B9,'Entrada 7TRAN'!H$8:H$43)</f>
        <v>225166.5</v>
      </c>
      <c r="F9" s="31">
        <f>SUMIF('Entrada 7TRAN'!$E$8:$E$43,'Reliquidación 7TRAN'!$B9,'Entrada 7TRAN'!I$8:I$43)</f>
        <v>43688</v>
      </c>
      <c r="G9" s="31">
        <f>SUMIF('Entrada 7TRAN'!$E$8:$E$43,'Reliquidación 7TRAN'!$B9,'Entrada 7TRAN'!J$8:J$43)</f>
        <v>3728888.6743959161</v>
      </c>
      <c r="H9" s="31">
        <v>4821671.8178709596</v>
      </c>
      <c r="I9" s="31">
        <f t="shared" ref="I9:I43" si="0">H9*($I$4+1)</f>
        <v>4831055.1102604782</v>
      </c>
      <c r="J9" s="31">
        <v>0</v>
      </c>
      <c r="K9" s="31">
        <f>+J9*($I$4+1)</f>
        <v>0</v>
      </c>
      <c r="L9" s="31">
        <f>G9+I9+K9</f>
        <v>8559943.7846563943</v>
      </c>
      <c r="M9" s="31">
        <f>IF(L9&lt;0,-L9,0)</f>
        <v>0</v>
      </c>
      <c r="N9" s="31">
        <f>IF(L9&gt;0,L9,0)</f>
        <v>8559943.7846563943</v>
      </c>
      <c r="O9" s="31">
        <f t="shared" ref="O9:O42" si="1">IF(OR($M$44=0,$N$44=0),0,((M9/$M$44-N9/$N$44)*$N$49))</f>
        <v>-4791203.2099699406</v>
      </c>
      <c r="P9" s="31">
        <f>L9+O9</f>
        <v>3768740.5746864537</v>
      </c>
      <c r="Q9" s="69"/>
    </row>
    <row r="10" spans="2:17" x14ac:dyDescent="0.3">
      <c r="B10" s="32" t="s">
        <v>15</v>
      </c>
      <c r="C10" s="33">
        <f>SUMIF('Entrada 7TRAN'!$E$8:$E$43,'Reliquidación 7TRAN'!$B10,'Entrada 7TRAN'!F$8:F$43)</f>
        <v>833539</v>
      </c>
      <c r="D10" s="33">
        <f>SUMIF('Entrada 7TRAN'!$E$8:$E$43,'Reliquidación 7TRAN'!$B10,'Entrada 7TRAN'!G$8:G$43)</f>
        <v>3214581</v>
      </c>
      <c r="E10" s="33">
        <f>SUMIF('Entrada 7TRAN'!$E$8:$E$43,'Reliquidación 7TRAN'!$B10,'Entrada 7TRAN'!H$8:H$43)</f>
        <v>985</v>
      </c>
      <c r="F10" s="33">
        <f>SUMIF('Entrada 7TRAN'!$E$8:$E$43,'Reliquidación 7TRAN'!$B10,'Entrada 7TRAN'!I$8:I$43)</f>
        <v>47473</v>
      </c>
      <c r="G10" s="33">
        <f>SUMIF('Entrada 7TRAN'!$E$8:$E$43,'Reliquidación 7TRAN'!$B10,'Entrada 7TRAN'!J$8:J$43)</f>
        <v>2705656.8315045498</v>
      </c>
      <c r="H10" s="33">
        <v>2879284.6968621388</v>
      </c>
      <c r="I10" s="33">
        <f t="shared" si="0"/>
        <v>2884887.9753937032</v>
      </c>
      <c r="J10" s="33">
        <v>0</v>
      </c>
      <c r="K10" s="33">
        <f t="shared" ref="K10:K43" si="2">+J10*($I$4+1)</f>
        <v>0</v>
      </c>
      <c r="L10" s="33">
        <f t="shared" ref="L10:L43" si="3">G10+I10+K10</f>
        <v>5590544.806898253</v>
      </c>
      <c r="M10" s="33">
        <f t="shared" ref="M10:M43" si="4">IF(L10&lt;0,-L10,0)</f>
        <v>0</v>
      </c>
      <c r="N10" s="33">
        <f>IF(L10&gt;0,L10,0)</f>
        <v>5590544.806898253</v>
      </c>
      <c r="O10" s="33">
        <f t="shared" si="1"/>
        <v>-3129160.2956907605</v>
      </c>
      <c r="P10" s="33">
        <f t="shared" ref="P10:P43" si="5">L10+O10</f>
        <v>2461384.5112074926</v>
      </c>
      <c r="Q10" s="69"/>
    </row>
    <row r="11" spans="2:17" x14ac:dyDescent="0.3">
      <c r="B11" s="32" t="s">
        <v>16</v>
      </c>
      <c r="C11" s="33">
        <f>SUMIF('Entrada 7TRAN'!$E$8:$E$43,'Reliquidación 7TRAN'!$B11,'Entrada 7TRAN'!F$8:F$43)</f>
        <v>3832189.04</v>
      </c>
      <c r="D11" s="33">
        <f>SUMIF('Entrada 7TRAN'!$E$8:$E$43,'Reliquidación 7TRAN'!$B11,'Entrada 7TRAN'!G$8:G$43)</f>
        <v>5150569.0470000003</v>
      </c>
      <c r="E11" s="33">
        <f>SUMIF('Entrada 7TRAN'!$E$8:$E$43,'Reliquidación 7TRAN'!$B11,'Entrada 7TRAN'!H$8:H$43)</f>
        <v>0</v>
      </c>
      <c r="F11" s="33">
        <f>SUMIF('Entrada 7TRAN'!$E$8:$E$43,'Reliquidación 7TRAN'!$B11,'Entrada 7TRAN'!I$8:I$43)</f>
        <v>27648</v>
      </c>
      <c r="G11" s="33">
        <f>SUMIF('Entrada 7TRAN'!$E$8:$E$43,'Reliquidación 7TRAN'!$B11,'Entrada 7TRAN'!J$8:J$43)</f>
        <v>6608811.3453895207</v>
      </c>
      <c r="H11" s="33">
        <v>5652675.7497090492</v>
      </c>
      <c r="I11" s="33">
        <f t="shared" si="0"/>
        <v>5663676.230734339</v>
      </c>
      <c r="J11" s="33">
        <v>0</v>
      </c>
      <c r="K11" s="33">
        <f t="shared" si="2"/>
        <v>0</v>
      </c>
      <c r="L11" s="33">
        <f t="shared" si="3"/>
        <v>12272487.57612386</v>
      </c>
      <c r="M11" s="33">
        <f t="shared" si="4"/>
        <v>0</v>
      </c>
      <c r="N11" s="33">
        <f t="shared" ref="N11:N43" si="6">IF(L11&gt;0,L11,0)</f>
        <v>12272487.57612386</v>
      </c>
      <c r="O11" s="33">
        <f t="shared" si="1"/>
        <v>-6869201.8719140636</v>
      </c>
      <c r="P11" s="33">
        <f t="shared" si="5"/>
        <v>5403285.7042097962</v>
      </c>
      <c r="Q11" s="69"/>
    </row>
    <row r="12" spans="2:17" x14ac:dyDescent="0.3">
      <c r="B12" s="32" t="s">
        <v>17</v>
      </c>
      <c r="C12" s="33">
        <f>SUMIF('Entrada 7TRAN'!$E$8:$E$43,'Reliquidación 7TRAN'!$B12,'Entrada 7TRAN'!F$8:F$43)</f>
        <v>444624</v>
      </c>
      <c r="D12" s="33">
        <f>SUMIF('Entrada 7TRAN'!$E$8:$E$43,'Reliquidación 7TRAN'!$B12,'Entrada 7TRAN'!G$8:G$43)</f>
        <v>1319773</v>
      </c>
      <c r="E12" s="33">
        <f>SUMIF('Entrada 7TRAN'!$E$8:$E$43,'Reliquidación 7TRAN'!$B12,'Entrada 7TRAN'!H$8:H$43)</f>
        <v>0</v>
      </c>
      <c r="F12" s="33">
        <f>SUMIF('Entrada 7TRAN'!$E$8:$E$43,'Reliquidación 7TRAN'!$B12,'Entrada 7TRAN'!I$8:I$43)</f>
        <v>0</v>
      </c>
      <c r="G12" s="33">
        <f>SUMIF('Entrada 7TRAN'!$E$8:$E$43,'Reliquidación 7TRAN'!$B12,'Entrada 7TRAN'!J$8:J$43)</f>
        <v>1486440.214994475</v>
      </c>
      <c r="H12" s="33">
        <v>1237321.4013440281</v>
      </c>
      <c r="I12" s="33">
        <f t="shared" si="0"/>
        <v>1239729.3106599604</v>
      </c>
      <c r="J12" s="33">
        <v>0</v>
      </c>
      <c r="K12" s="33">
        <f t="shared" si="2"/>
        <v>0</v>
      </c>
      <c r="L12" s="33">
        <f t="shared" si="3"/>
        <v>2726169.5256544352</v>
      </c>
      <c r="M12" s="33">
        <f t="shared" si="4"/>
        <v>0</v>
      </c>
      <c r="N12" s="33">
        <f t="shared" si="6"/>
        <v>2726169.5256544352</v>
      </c>
      <c r="O12" s="33">
        <f t="shared" si="1"/>
        <v>-1525901.6309955907</v>
      </c>
      <c r="P12" s="33">
        <f t="shared" si="5"/>
        <v>1200267.8946588445</v>
      </c>
      <c r="Q12" s="69"/>
    </row>
    <row r="13" spans="2:17" x14ac:dyDescent="0.3">
      <c r="B13" s="32" t="s">
        <v>18</v>
      </c>
      <c r="C13" s="33">
        <f>SUMIF('Entrada 7TRAN'!$E$8:$E$43,'Reliquidación 7TRAN'!$B13,'Entrada 7TRAN'!F$8:F$43)</f>
        <v>135352931.92899999</v>
      </c>
      <c r="D13" s="33">
        <f>SUMIF('Entrada 7TRAN'!$E$8:$E$43,'Reliquidación 7TRAN'!$B13,'Entrada 7TRAN'!G$8:G$43)</f>
        <v>461125550.36400002</v>
      </c>
      <c r="E13" s="33">
        <f>SUMIF('Entrada 7TRAN'!$E$8:$E$43,'Reliquidación 7TRAN'!$B13,'Entrada 7TRAN'!H$8:H$43)</f>
        <v>5508613.3389999997</v>
      </c>
      <c r="F13" s="33">
        <f>SUMIF('Entrada 7TRAN'!$E$8:$E$43,'Reliquidación 7TRAN'!$B13,'Entrada 7TRAN'!I$8:I$43)</f>
        <v>1055476.9820000001</v>
      </c>
      <c r="G13" s="33">
        <f>SUMIF('Entrada 7TRAN'!$E$8:$E$43,'Reliquidación 7TRAN'!$B13,'Entrada 7TRAN'!J$8:J$43)</f>
        <v>-451951103.05764067</v>
      </c>
      <c r="H13" s="33">
        <v>0</v>
      </c>
      <c r="I13" s="33">
        <f t="shared" si="0"/>
        <v>0</v>
      </c>
      <c r="J13" s="33">
        <v>0</v>
      </c>
      <c r="K13" s="33">
        <f t="shared" si="2"/>
        <v>0</v>
      </c>
      <c r="L13" s="33">
        <f t="shared" si="3"/>
        <v>-451951103.05764067</v>
      </c>
      <c r="M13" s="33">
        <f t="shared" si="4"/>
        <v>451951103.05764067</v>
      </c>
      <c r="N13" s="33">
        <f t="shared" si="6"/>
        <v>0</v>
      </c>
      <c r="O13" s="33">
        <f t="shared" si="1"/>
        <v>451951103.05764067</v>
      </c>
      <c r="P13" s="33">
        <f t="shared" si="5"/>
        <v>0</v>
      </c>
      <c r="Q13" s="69"/>
    </row>
    <row r="14" spans="2:17" x14ac:dyDescent="0.3">
      <c r="B14" s="32" t="s">
        <v>20</v>
      </c>
      <c r="C14" s="33">
        <f>SUMIF('Entrada 7TRAN'!$E$8:$E$43,'Reliquidación 7TRAN'!$B14,'Entrada 7TRAN'!F$8:F$43)</f>
        <v>158517.52100000001</v>
      </c>
      <c r="D14" s="33">
        <f>SUMIF('Entrada 7TRAN'!$E$8:$E$43,'Reliquidación 7TRAN'!$B14,'Entrada 7TRAN'!G$8:G$43)</f>
        <v>904819.30099999998</v>
      </c>
      <c r="E14" s="33">
        <f>SUMIF('Entrada 7TRAN'!$E$8:$E$43,'Reliquidación 7TRAN'!$B14,'Entrada 7TRAN'!H$8:H$43)</f>
        <v>0</v>
      </c>
      <c r="F14" s="33">
        <f>SUMIF('Entrada 7TRAN'!$E$8:$E$43,'Reliquidación 7TRAN'!$B14,'Entrada 7TRAN'!I$8:I$43)</f>
        <v>0</v>
      </c>
      <c r="G14" s="33">
        <f>SUMIF('Entrada 7TRAN'!$E$8:$E$43,'Reliquidación 7TRAN'!$B14,'Entrada 7TRAN'!J$8:J$43)</f>
        <v>578708.02347935061</v>
      </c>
      <c r="H14" s="33">
        <v>492664.8991152331</v>
      </c>
      <c r="I14" s="33">
        <f t="shared" si="0"/>
        <v>493623.65760670014</v>
      </c>
      <c r="J14" s="33">
        <v>0</v>
      </c>
      <c r="K14" s="33">
        <f t="shared" si="2"/>
        <v>0</v>
      </c>
      <c r="L14" s="33">
        <f t="shared" si="3"/>
        <v>1072331.6810860508</v>
      </c>
      <c r="M14" s="33">
        <f t="shared" si="4"/>
        <v>0</v>
      </c>
      <c r="N14" s="33">
        <f t="shared" si="6"/>
        <v>1072331.6810860508</v>
      </c>
      <c r="O14" s="33">
        <f t="shared" si="1"/>
        <v>-600209.43148964678</v>
      </c>
      <c r="P14" s="33">
        <f t="shared" si="5"/>
        <v>472122.24959640403</v>
      </c>
      <c r="Q14" s="69"/>
    </row>
    <row r="15" spans="2:17" x14ac:dyDescent="0.3">
      <c r="B15" s="32" t="s">
        <v>21</v>
      </c>
      <c r="C15" s="33">
        <f>SUMIF('Entrada 7TRAN'!$E$8:$E$43,'Reliquidación 7TRAN'!$B15,'Entrada 7TRAN'!F$8:F$43)</f>
        <v>10699553.1393271</v>
      </c>
      <c r="D15" s="33">
        <f>SUMIF('Entrada 7TRAN'!$E$8:$E$43,'Reliquidación 7TRAN'!$B15,'Entrada 7TRAN'!G$8:G$43)</f>
        <v>18872801.526999999</v>
      </c>
      <c r="E15" s="33">
        <f>SUMIF('Entrada 7TRAN'!$E$8:$E$43,'Reliquidación 7TRAN'!$B15,'Entrada 7TRAN'!H$8:H$43)</f>
        <v>612991.97100000002</v>
      </c>
      <c r="F15" s="33">
        <f>SUMIF('Entrada 7TRAN'!$E$8:$E$43,'Reliquidación 7TRAN'!$B15,'Entrada 7TRAN'!I$8:I$43)</f>
        <v>39995.288999999997</v>
      </c>
      <c r="G15" s="33">
        <f>SUMIF('Entrada 7TRAN'!$E$8:$E$43,'Reliquidación 7TRAN'!$B15,'Entrada 7TRAN'!J$8:J$43)</f>
        <v>-20004259.938767839</v>
      </c>
      <c r="H15" s="33">
        <v>0</v>
      </c>
      <c r="I15" s="33">
        <f t="shared" si="0"/>
        <v>0</v>
      </c>
      <c r="J15" s="33">
        <v>0</v>
      </c>
      <c r="K15" s="33">
        <f t="shared" si="2"/>
        <v>0</v>
      </c>
      <c r="L15" s="33">
        <f t="shared" si="3"/>
        <v>-20004259.938767839</v>
      </c>
      <c r="M15" s="33">
        <f t="shared" si="4"/>
        <v>20004259.938767839</v>
      </c>
      <c r="N15" s="33">
        <f t="shared" si="6"/>
        <v>0</v>
      </c>
      <c r="O15" s="33">
        <f t="shared" si="1"/>
        <v>20004259.938767839</v>
      </c>
      <c r="P15" s="33">
        <f t="shared" si="5"/>
        <v>0</v>
      </c>
      <c r="Q15" s="69"/>
    </row>
    <row r="16" spans="2:17" x14ac:dyDescent="0.3">
      <c r="B16" s="32" t="s">
        <v>22</v>
      </c>
      <c r="C16" s="33">
        <f>SUMIF('Entrada 7TRAN'!$E$8:$E$43,'Reliquidación 7TRAN'!$B16,'Entrada 7TRAN'!F$8:F$43)</f>
        <v>0</v>
      </c>
      <c r="D16" s="33">
        <f>SUMIF('Entrada 7TRAN'!$E$8:$E$43,'Reliquidación 7TRAN'!$B16,'Entrada 7TRAN'!G$8:G$43)</f>
        <v>0</v>
      </c>
      <c r="E16" s="33">
        <f>SUMIF('Entrada 7TRAN'!$E$8:$E$43,'Reliquidación 7TRAN'!$B16,'Entrada 7TRAN'!H$8:H$43)</f>
        <v>0</v>
      </c>
      <c r="F16" s="33">
        <f>SUMIF('Entrada 7TRAN'!$E$8:$E$43,'Reliquidación 7TRAN'!$B16,'Entrada 7TRAN'!I$8:I$43)</f>
        <v>0</v>
      </c>
      <c r="G16" s="33">
        <f>SUMIF('Entrada 7TRAN'!$E$8:$E$43,'Reliquidación 7TRAN'!$B16,'Entrada 7TRAN'!J$8:J$43)</f>
        <v>0</v>
      </c>
      <c r="H16" s="33">
        <v>0</v>
      </c>
      <c r="I16" s="33">
        <f t="shared" si="0"/>
        <v>0</v>
      </c>
      <c r="J16" s="33">
        <v>0</v>
      </c>
      <c r="K16" s="33">
        <f t="shared" si="2"/>
        <v>0</v>
      </c>
      <c r="L16" s="33">
        <f t="shared" si="3"/>
        <v>0</v>
      </c>
      <c r="M16" s="33">
        <f t="shared" si="4"/>
        <v>0</v>
      </c>
      <c r="N16" s="33">
        <f t="shared" si="6"/>
        <v>0</v>
      </c>
      <c r="O16" s="33">
        <f t="shared" si="1"/>
        <v>0</v>
      </c>
      <c r="P16" s="33">
        <f t="shared" si="5"/>
        <v>0</v>
      </c>
      <c r="Q16" s="69"/>
    </row>
    <row r="17" spans="2:17" x14ac:dyDescent="0.3">
      <c r="B17" s="32" t="s">
        <v>23</v>
      </c>
      <c r="C17" s="33">
        <f>SUMIF('Entrada 7TRAN'!$E$8:$E$43,'Reliquidación 7TRAN'!$B17,'Entrada 7TRAN'!F$8:F$43)</f>
        <v>0</v>
      </c>
      <c r="D17" s="33">
        <f>SUMIF('Entrada 7TRAN'!$E$8:$E$43,'Reliquidación 7TRAN'!$B17,'Entrada 7TRAN'!G$8:G$43)</f>
        <v>0</v>
      </c>
      <c r="E17" s="33">
        <f>SUMIF('Entrada 7TRAN'!$E$8:$E$43,'Reliquidación 7TRAN'!$B17,'Entrada 7TRAN'!H$8:H$43)</f>
        <v>0</v>
      </c>
      <c r="F17" s="33">
        <f>SUMIF('Entrada 7TRAN'!$E$8:$E$43,'Reliquidación 7TRAN'!$B17,'Entrada 7TRAN'!I$8:I$43)</f>
        <v>0</v>
      </c>
      <c r="G17" s="33">
        <f>SUMIF('Entrada 7TRAN'!$E$8:$E$43,'Reliquidación 7TRAN'!$B17,'Entrada 7TRAN'!J$8:J$43)</f>
        <v>0</v>
      </c>
      <c r="H17" s="33">
        <v>0</v>
      </c>
      <c r="I17" s="33">
        <f t="shared" si="0"/>
        <v>0</v>
      </c>
      <c r="J17" s="33">
        <v>0</v>
      </c>
      <c r="K17" s="33">
        <f t="shared" si="2"/>
        <v>0</v>
      </c>
      <c r="L17" s="33">
        <f t="shared" si="3"/>
        <v>0</v>
      </c>
      <c r="M17" s="33">
        <f t="shared" si="4"/>
        <v>0</v>
      </c>
      <c r="N17" s="33">
        <f t="shared" si="6"/>
        <v>0</v>
      </c>
      <c r="O17" s="33">
        <f t="shared" si="1"/>
        <v>0</v>
      </c>
      <c r="P17" s="33">
        <f t="shared" si="5"/>
        <v>0</v>
      </c>
      <c r="Q17" s="69"/>
    </row>
    <row r="18" spans="2:17" x14ac:dyDescent="0.3">
      <c r="B18" s="32" t="s">
        <v>24</v>
      </c>
      <c r="C18" s="33">
        <f>SUMIF('Entrada 7TRAN'!$E$8:$E$43,'Reliquidación 7TRAN'!$B18,'Entrada 7TRAN'!F$8:F$43)+SUMIF('Entrada 7TRAN'!$E$8:$E$43,"LUZ ANDES",'Entrada 7TRAN'!F$8:F$43)</f>
        <v>106896174.19599999</v>
      </c>
      <c r="D18" s="33">
        <f>SUMIF('Entrada 7TRAN'!$E$8:$E$43,'Reliquidación 7TRAN'!$B18,'Entrada 7TRAN'!G$8:G$43)+SUMIF('Entrada 7TRAN'!$E$8:$E$43,"LUZ ANDES",'Entrada 7TRAN'!G$8:G$43)</f>
        <v>546550889.21145499</v>
      </c>
      <c r="E18" s="33">
        <f>SUMIF('Entrada 7TRAN'!$E$8:$E$43,'Reliquidación 7TRAN'!$B18,'Entrada 7TRAN'!H$8:H$43)+SUMIF('Entrada 7TRAN'!$E$8:$E$43,"LUZ ANDES",'Entrada 7TRAN'!H$8:H$43)</f>
        <v>294860.86</v>
      </c>
      <c r="F18" s="33">
        <f>SUMIF('Entrada 7TRAN'!$E$8:$E$43,'Reliquidación 7TRAN'!$B18,'Entrada 7TRAN'!I$8:I$43)+SUMIF('Entrada 7TRAN'!$E$8:$E$43,"LUZ ANDES",'Entrada 7TRAN'!I$8:I$43)</f>
        <v>1324167.1939999999</v>
      </c>
      <c r="G18" s="33">
        <f>SUMIF('Entrada 7TRAN'!$E$8:$E$43,'Reliquidación 7TRAN'!$B18,'Entrada 7TRAN'!J$8:J$43)+SUMIF('Entrada 7TRAN'!$E$8:$E$43,"LUZ ANDES",'Entrada 7TRAN'!J$8:J$43)</f>
        <v>463305964.13679385</v>
      </c>
      <c r="H18" s="33">
        <v>400255564.20049089</v>
      </c>
      <c r="I18" s="33">
        <f t="shared" si="0"/>
        <v>401034488.01183468</v>
      </c>
      <c r="J18" s="33">
        <v>0</v>
      </c>
      <c r="K18" s="33">
        <f t="shared" si="2"/>
        <v>0</v>
      </c>
      <c r="L18" s="33">
        <f t="shared" si="3"/>
        <v>864340452.14862847</v>
      </c>
      <c r="M18" s="33">
        <f t="shared" si="4"/>
        <v>0</v>
      </c>
      <c r="N18" s="33">
        <f t="shared" si="6"/>
        <v>864340452.14862847</v>
      </c>
      <c r="O18" s="33">
        <f t="shared" si="1"/>
        <v>-483791816.0472607</v>
      </c>
      <c r="P18" s="33">
        <f t="shared" si="5"/>
        <v>380548636.10136777</v>
      </c>
      <c r="Q18" s="69"/>
    </row>
    <row r="19" spans="2:17" x14ac:dyDescent="0.3">
      <c r="B19" s="32" t="s">
        <v>26</v>
      </c>
      <c r="C19" s="33">
        <f>SUMIF('Entrada 7TRAN'!$E$8:$E$43,'Reliquidación 7TRAN'!$B19,'Entrada 7TRAN'!F$8:F$43)</f>
        <v>34143317.086000003</v>
      </c>
      <c r="D19" s="33">
        <f>SUMIF('Entrada 7TRAN'!$E$8:$E$43,'Reliquidación 7TRAN'!$B19,'Entrada 7TRAN'!G$8:G$43)</f>
        <v>67997616.605000004</v>
      </c>
      <c r="E19" s="33">
        <f>SUMIF('Entrada 7TRAN'!$E$8:$E$43,'Reliquidación 7TRAN'!$B19,'Entrada 7TRAN'!H$8:H$43)</f>
        <v>1527233.5549999999</v>
      </c>
      <c r="F19" s="33">
        <f>SUMIF('Entrada 7TRAN'!$E$8:$E$43,'Reliquidación 7TRAN'!$B19,'Entrada 7TRAN'!I$8:I$43)</f>
        <v>148459.09400000001</v>
      </c>
      <c r="G19" s="33">
        <f>SUMIF('Entrada 7TRAN'!$E$8:$E$43,'Reliquidación 7TRAN'!$B19,'Entrada 7TRAN'!J$8:J$43)</f>
        <v>-68412271.416111171</v>
      </c>
      <c r="H19" s="33">
        <v>0</v>
      </c>
      <c r="I19" s="33">
        <f t="shared" si="0"/>
        <v>0</v>
      </c>
      <c r="J19" s="33">
        <v>0</v>
      </c>
      <c r="K19" s="33">
        <f t="shared" si="2"/>
        <v>0</v>
      </c>
      <c r="L19" s="33">
        <f t="shared" si="3"/>
        <v>-68412271.416111171</v>
      </c>
      <c r="M19" s="33">
        <f t="shared" si="4"/>
        <v>68412271.416111171</v>
      </c>
      <c r="N19" s="33">
        <f t="shared" si="6"/>
        <v>0</v>
      </c>
      <c r="O19" s="33">
        <f t="shared" si="1"/>
        <v>68412271.416111171</v>
      </c>
      <c r="P19" s="33">
        <f t="shared" si="5"/>
        <v>0</v>
      </c>
      <c r="Q19" s="69"/>
    </row>
    <row r="20" spans="2:17" x14ac:dyDescent="0.3">
      <c r="B20" s="32" t="s">
        <v>27</v>
      </c>
      <c r="C20" s="33">
        <f>SUMIF('Entrada 7TRAN'!$E$8:$E$43,'Reliquidación 7TRAN'!$B20,'Entrada 7TRAN'!F$8:F$43)</f>
        <v>3206338.7379999999</v>
      </c>
      <c r="D20" s="33">
        <f>SUMIF('Entrada 7TRAN'!$E$8:$E$43,'Reliquidación 7TRAN'!$B20,'Entrada 7TRAN'!G$8:G$43)</f>
        <v>17558595.651999999</v>
      </c>
      <c r="E20" s="33">
        <f>SUMIF('Entrada 7TRAN'!$E$8:$E$43,'Reliquidación 7TRAN'!$B20,'Entrada 7TRAN'!H$8:H$43)</f>
        <v>8160</v>
      </c>
      <c r="F20" s="33">
        <f>SUMIF('Entrada 7TRAN'!$E$8:$E$43,'Reliquidación 7TRAN'!$B20,'Entrada 7TRAN'!I$8:I$43)</f>
        <v>19487.210999999999</v>
      </c>
      <c r="G20" s="33">
        <f>SUMIF('Entrada 7TRAN'!$E$8:$E$43,'Reliquidación 7TRAN'!$B20,'Entrada 7TRAN'!J$8:J$43)</f>
        <v>17441761.804580688</v>
      </c>
      <c r="H20" s="33">
        <v>14051584.222489521</v>
      </c>
      <c r="I20" s="33">
        <f t="shared" si="0"/>
        <v>14078929.535127118</v>
      </c>
      <c r="J20" s="33">
        <v>0</v>
      </c>
      <c r="K20" s="33">
        <f t="shared" si="2"/>
        <v>0</v>
      </c>
      <c r="L20" s="33">
        <f t="shared" si="3"/>
        <v>31520691.339707807</v>
      </c>
      <c r="M20" s="33">
        <f t="shared" si="4"/>
        <v>0</v>
      </c>
      <c r="N20" s="33">
        <f t="shared" si="6"/>
        <v>31520691.339707807</v>
      </c>
      <c r="O20" s="33">
        <f t="shared" si="1"/>
        <v>-17642877.257907361</v>
      </c>
      <c r="P20" s="33">
        <f t="shared" si="5"/>
        <v>13877814.081800446</v>
      </c>
      <c r="Q20" s="69"/>
    </row>
    <row r="21" spans="2:17" x14ac:dyDescent="0.3">
      <c r="B21" s="32" t="s">
        <v>28</v>
      </c>
      <c r="C21" s="33">
        <f>SUMIF('Entrada 7TRAN'!$E$8:$E$43,'Reliquidación 7TRAN'!$B21,'Entrada 7TRAN'!F$8:F$43)</f>
        <v>0</v>
      </c>
      <c r="D21" s="33">
        <f>SUMIF('Entrada 7TRAN'!$E$8:$E$43,'Reliquidación 7TRAN'!$B21,'Entrada 7TRAN'!G$8:G$43)</f>
        <v>0</v>
      </c>
      <c r="E21" s="33">
        <f>SUMIF('Entrada 7TRAN'!$E$8:$E$43,'Reliquidación 7TRAN'!$B21,'Entrada 7TRAN'!H$8:H$43)</f>
        <v>0</v>
      </c>
      <c r="F21" s="33">
        <f>SUMIF('Entrada 7TRAN'!$E$8:$E$43,'Reliquidación 7TRAN'!$B21,'Entrada 7TRAN'!I$8:I$43)</f>
        <v>0</v>
      </c>
      <c r="G21" s="33">
        <f>SUMIF('Entrada 7TRAN'!$E$8:$E$43,'Reliquidación 7TRAN'!$B21,'Entrada 7TRAN'!J$8:J$43)</f>
        <v>0</v>
      </c>
      <c r="H21" s="33">
        <v>0</v>
      </c>
      <c r="I21" s="33">
        <f t="shared" si="0"/>
        <v>0</v>
      </c>
      <c r="J21" s="33">
        <v>0</v>
      </c>
      <c r="K21" s="33">
        <f t="shared" si="2"/>
        <v>0</v>
      </c>
      <c r="L21" s="33">
        <f t="shared" si="3"/>
        <v>0</v>
      </c>
      <c r="M21" s="33">
        <f t="shared" si="4"/>
        <v>0</v>
      </c>
      <c r="N21" s="33">
        <f t="shared" si="6"/>
        <v>0</v>
      </c>
      <c r="O21" s="33">
        <f t="shared" si="1"/>
        <v>0</v>
      </c>
      <c r="P21" s="33">
        <f t="shared" si="5"/>
        <v>0</v>
      </c>
      <c r="Q21" s="69"/>
    </row>
    <row r="22" spans="2:17" x14ac:dyDescent="0.3">
      <c r="B22" s="32" t="s">
        <v>29</v>
      </c>
      <c r="C22" s="33">
        <f>SUMIF('Entrada 7TRAN'!$E$8:$E$43,'Reliquidación 7TRAN'!$B22,'Entrada 7TRAN'!F$8:F$43)</f>
        <v>1471077</v>
      </c>
      <c r="D22" s="33">
        <f>SUMIF('Entrada 7TRAN'!$E$8:$E$43,'Reliquidación 7TRAN'!$B22,'Entrada 7TRAN'!G$8:G$43)</f>
        <v>8457923</v>
      </c>
      <c r="E22" s="33">
        <f>SUMIF('Entrada 7TRAN'!$E$8:$E$43,'Reliquidación 7TRAN'!$B22,'Entrada 7TRAN'!H$8:H$43)</f>
        <v>149</v>
      </c>
      <c r="F22" s="33">
        <f>SUMIF('Entrada 7TRAN'!$E$8:$E$43,'Reliquidación 7TRAN'!$B22,'Entrada 7TRAN'!I$8:I$43)</f>
        <v>7093</v>
      </c>
      <c r="G22" s="33">
        <f>SUMIF('Entrada 7TRAN'!$E$8:$E$43,'Reliquidación 7TRAN'!$B22,'Entrada 7TRAN'!J$8:J$43)</f>
        <v>6980506.3556095324</v>
      </c>
      <c r="H22" s="33">
        <v>5285800.7917870171</v>
      </c>
      <c r="I22" s="33">
        <f t="shared" si="0"/>
        <v>5296087.3098694505</v>
      </c>
      <c r="J22" s="33">
        <v>0</v>
      </c>
      <c r="K22" s="33">
        <f t="shared" si="2"/>
        <v>0</v>
      </c>
      <c r="L22" s="33">
        <f t="shared" si="3"/>
        <v>12276593.665478982</v>
      </c>
      <c r="M22" s="33">
        <f t="shared" si="4"/>
        <v>0</v>
      </c>
      <c r="N22" s="33">
        <f t="shared" si="6"/>
        <v>12276593.665478982</v>
      </c>
      <c r="O22" s="33">
        <f t="shared" si="1"/>
        <v>-6871500.1473459601</v>
      </c>
      <c r="P22" s="33">
        <f t="shared" si="5"/>
        <v>5405093.5181330219</v>
      </c>
      <c r="Q22" s="69"/>
    </row>
    <row r="23" spans="2:17" x14ac:dyDescent="0.3">
      <c r="B23" s="32" t="s">
        <v>30</v>
      </c>
      <c r="C23" s="33">
        <f>SUMIF('Entrada 7TRAN'!$E$8:$E$43,'Reliquidación 7TRAN'!$B23,'Entrada 7TRAN'!F$8:F$43)</f>
        <v>4751790</v>
      </c>
      <c r="D23" s="33">
        <f>SUMIF('Entrada 7TRAN'!$E$8:$E$43,'Reliquidación 7TRAN'!$B23,'Entrada 7TRAN'!G$8:G$43)</f>
        <v>12830052</v>
      </c>
      <c r="E23" s="33">
        <f>SUMIF('Entrada 7TRAN'!$E$8:$E$43,'Reliquidación 7TRAN'!$B23,'Entrada 7TRAN'!H$8:H$43)</f>
        <v>587072</v>
      </c>
      <c r="F23" s="33">
        <f>SUMIF('Entrada 7TRAN'!$E$8:$E$43,'Reliquidación 7TRAN'!$B23,'Entrada 7TRAN'!I$8:I$43)</f>
        <v>144840</v>
      </c>
      <c r="G23" s="33">
        <f>SUMIF('Entrada 7TRAN'!$E$8:$E$43,'Reliquidación 7TRAN'!$B23,'Entrada 7TRAN'!J$8:J$43)</f>
        <v>11692854.557335841</v>
      </c>
      <c r="H23" s="33">
        <v>11575120.92020311</v>
      </c>
      <c r="I23" s="33">
        <f t="shared" si="0"/>
        <v>11597646.871396167</v>
      </c>
      <c r="J23" s="33">
        <v>0</v>
      </c>
      <c r="K23" s="33">
        <f t="shared" si="2"/>
        <v>0</v>
      </c>
      <c r="L23" s="33">
        <f t="shared" si="3"/>
        <v>23290501.428732008</v>
      </c>
      <c r="M23" s="33">
        <f t="shared" si="4"/>
        <v>0</v>
      </c>
      <c r="N23" s="33">
        <f t="shared" si="6"/>
        <v>23290501.428732008</v>
      </c>
      <c r="O23" s="33">
        <f t="shared" si="1"/>
        <v>-13036245.0986154</v>
      </c>
      <c r="P23" s="33">
        <f t="shared" si="5"/>
        <v>10254256.330116607</v>
      </c>
      <c r="Q23" s="69"/>
    </row>
    <row r="24" spans="2:17" x14ac:dyDescent="0.3">
      <c r="B24" s="32" t="s">
        <v>31</v>
      </c>
      <c r="C24" s="33">
        <f>SUMIF('Entrada 7TRAN'!$E$8:$E$43,'Reliquidación 7TRAN'!$B24,'Entrada 7TRAN'!F$8:F$43)</f>
        <v>1571701</v>
      </c>
      <c r="D24" s="33">
        <f>SUMIF('Entrada 7TRAN'!$E$8:$E$43,'Reliquidación 7TRAN'!$B24,'Entrada 7TRAN'!G$8:G$43)</f>
        <v>14400875</v>
      </c>
      <c r="E24" s="33">
        <f>SUMIF('Entrada 7TRAN'!$E$8:$E$43,'Reliquidación 7TRAN'!$B24,'Entrada 7TRAN'!H$8:H$43)</f>
        <v>42</v>
      </c>
      <c r="F24" s="33">
        <f>SUMIF('Entrada 7TRAN'!$E$8:$E$43,'Reliquidación 7TRAN'!$B24,'Entrada 7TRAN'!I$8:I$43)</f>
        <v>73423</v>
      </c>
      <c r="G24" s="33">
        <f>SUMIF('Entrada 7TRAN'!$E$8:$E$43,'Reliquidación 7TRAN'!$B24,'Entrada 7TRAN'!J$8:J$43)</f>
        <v>10498077.51491636</v>
      </c>
      <c r="H24" s="33">
        <v>8203747.7836432438</v>
      </c>
      <c r="I24" s="33">
        <f t="shared" si="0"/>
        <v>8219712.8196414392</v>
      </c>
      <c r="J24" s="33">
        <v>0</v>
      </c>
      <c r="K24" s="33">
        <f t="shared" si="2"/>
        <v>0</v>
      </c>
      <c r="L24" s="33">
        <f t="shared" si="3"/>
        <v>18717790.334557801</v>
      </c>
      <c r="M24" s="33">
        <f t="shared" si="4"/>
        <v>0</v>
      </c>
      <c r="N24" s="33">
        <f t="shared" si="6"/>
        <v>18717790.334557801</v>
      </c>
      <c r="O24" s="33">
        <f t="shared" si="1"/>
        <v>-10476790.431174258</v>
      </c>
      <c r="P24" s="33">
        <f t="shared" si="5"/>
        <v>8240999.9033835437</v>
      </c>
      <c r="Q24" s="69"/>
    </row>
    <row r="25" spans="2:17" x14ac:dyDescent="0.3">
      <c r="B25" s="32" t="s">
        <v>32</v>
      </c>
      <c r="C25" s="33">
        <f>SUMIF('Entrada 7TRAN'!$E$8:$E$43,'Reliquidación 7TRAN'!$B25,'Entrada 7TRAN'!F$8:F$43)</f>
        <v>914925</v>
      </c>
      <c r="D25" s="33">
        <f>SUMIF('Entrada 7TRAN'!$E$8:$E$43,'Reliquidación 7TRAN'!$B25,'Entrada 7TRAN'!G$8:G$43)</f>
        <v>2768158</v>
      </c>
      <c r="E25" s="33">
        <f>SUMIF('Entrada 7TRAN'!$E$8:$E$43,'Reliquidación 7TRAN'!$B25,'Entrada 7TRAN'!H$8:H$43)</f>
        <v>226653</v>
      </c>
      <c r="F25" s="33">
        <f>SUMIF('Entrada 7TRAN'!$E$8:$E$43,'Reliquidación 7TRAN'!$B25,'Entrada 7TRAN'!I$8:I$43)</f>
        <v>21393</v>
      </c>
      <c r="G25" s="33">
        <f>SUMIF('Entrada 7TRAN'!$E$8:$E$43,'Reliquidación 7TRAN'!$B25,'Entrada 7TRAN'!J$8:J$43)</f>
        <v>2653160.7143470128</v>
      </c>
      <c r="H25" s="33">
        <v>2369025.3617858952</v>
      </c>
      <c r="I25" s="33">
        <f t="shared" si="0"/>
        <v>2373635.6418894543</v>
      </c>
      <c r="J25" s="33">
        <v>0</v>
      </c>
      <c r="K25" s="33">
        <f t="shared" si="2"/>
        <v>0</v>
      </c>
      <c r="L25" s="33">
        <f t="shared" si="3"/>
        <v>5026796.3562364671</v>
      </c>
      <c r="M25" s="33">
        <f t="shared" si="4"/>
        <v>0</v>
      </c>
      <c r="N25" s="33">
        <f t="shared" si="6"/>
        <v>5026796.3562364671</v>
      </c>
      <c r="O25" s="33">
        <f t="shared" si="1"/>
        <v>-2813616.9399893014</v>
      </c>
      <c r="P25" s="33">
        <f t="shared" si="5"/>
        <v>2213179.4162471658</v>
      </c>
      <c r="Q25" s="69"/>
    </row>
    <row r="26" spans="2:17" x14ac:dyDescent="0.3">
      <c r="B26" s="32" t="s">
        <v>33</v>
      </c>
      <c r="C26" s="33">
        <f>SUMIF('Entrada 7TRAN'!$E$8:$E$43,'Reliquidación 7TRAN'!$B26,'Entrada 7TRAN'!F$8:F$43)</f>
        <v>1286656</v>
      </c>
      <c r="D26" s="33">
        <f>SUMIF('Entrada 7TRAN'!$E$8:$E$43,'Reliquidación 7TRAN'!$B26,'Entrada 7TRAN'!G$8:G$43)</f>
        <v>2274598</v>
      </c>
      <c r="E26" s="33">
        <f>SUMIF('Entrada 7TRAN'!$E$8:$E$43,'Reliquidación 7TRAN'!$B26,'Entrada 7TRAN'!H$8:H$43)</f>
        <v>75381</v>
      </c>
      <c r="F26" s="33">
        <f>SUMIF('Entrada 7TRAN'!$E$8:$E$43,'Reliquidación 7TRAN'!$B26,'Entrada 7TRAN'!I$8:I$43)</f>
        <v>8875</v>
      </c>
      <c r="G26" s="33">
        <f>SUMIF('Entrada 7TRAN'!$E$8:$E$43,'Reliquidación 7TRAN'!$B26,'Entrada 7TRAN'!J$8:J$43)</f>
        <v>2571955.3907412849</v>
      </c>
      <c r="H26" s="33">
        <v>2206444.0872667194</v>
      </c>
      <c r="I26" s="33">
        <f t="shared" si="0"/>
        <v>2210737.973452671</v>
      </c>
      <c r="J26" s="33">
        <v>0</v>
      </c>
      <c r="K26" s="33">
        <f t="shared" si="2"/>
        <v>0</v>
      </c>
      <c r="L26" s="33">
        <f t="shared" si="3"/>
        <v>4782693.3641939554</v>
      </c>
      <c r="M26" s="33">
        <f t="shared" si="4"/>
        <v>0</v>
      </c>
      <c r="N26" s="33">
        <f t="shared" si="6"/>
        <v>4782693.3641939554</v>
      </c>
      <c r="O26" s="33">
        <f t="shared" si="1"/>
        <v>-2676986.7157191667</v>
      </c>
      <c r="P26" s="33">
        <f t="shared" si="5"/>
        <v>2105706.6484747888</v>
      </c>
      <c r="Q26" s="69"/>
    </row>
    <row r="27" spans="2:17" x14ac:dyDescent="0.3">
      <c r="B27" s="32" t="s">
        <v>34</v>
      </c>
      <c r="C27" s="33">
        <f>SUMIF('Entrada 7TRAN'!$E$8:$E$43,'Reliquidación 7TRAN'!$B27,'Entrada 7TRAN'!F$8:F$43)</f>
        <v>1463055</v>
      </c>
      <c r="D27" s="33">
        <f>SUMIF('Entrada 7TRAN'!$E$8:$E$43,'Reliquidación 7TRAN'!$B27,'Entrada 7TRAN'!G$8:G$43)</f>
        <v>6702899</v>
      </c>
      <c r="E27" s="33">
        <f>SUMIF('Entrada 7TRAN'!$E$8:$E$43,'Reliquidación 7TRAN'!$B27,'Entrada 7TRAN'!H$8:H$43)</f>
        <v>452947</v>
      </c>
      <c r="F27" s="33">
        <f>SUMIF('Entrada 7TRAN'!$E$8:$E$43,'Reliquidación 7TRAN'!$B27,'Entrada 7TRAN'!I$8:I$43)</f>
        <v>83409</v>
      </c>
      <c r="G27" s="33">
        <f>SUMIF('Entrada 7TRAN'!$E$8:$E$43,'Reliquidación 7TRAN'!$B27,'Entrada 7TRAN'!J$8:J$43)</f>
        <v>4466381.006670082</v>
      </c>
      <c r="H27" s="33">
        <v>4896197.770609729</v>
      </c>
      <c r="I27" s="33">
        <f t="shared" si="0"/>
        <v>4905726.0954343807</v>
      </c>
      <c r="J27" s="33">
        <v>0</v>
      </c>
      <c r="K27" s="33">
        <f t="shared" si="2"/>
        <v>0</v>
      </c>
      <c r="L27" s="33">
        <f t="shared" si="3"/>
        <v>9372107.1021044627</v>
      </c>
      <c r="M27" s="33">
        <f t="shared" si="4"/>
        <v>0</v>
      </c>
      <c r="N27" s="33">
        <f t="shared" si="6"/>
        <v>9372107.1021044627</v>
      </c>
      <c r="O27" s="33">
        <f t="shared" si="1"/>
        <v>-5245790.2483278364</v>
      </c>
      <c r="P27" s="33">
        <f t="shared" si="5"/>
        <v>4126316.8537766263</v>
      </c>
      <c r="Q27" s="69"/>
    </row>
    <row r="28" spans="2:17" x14ac:dyDescent="0.3">
      <c r="B28" s="32" t="s">
        <v>35</v>
      </c>
      <c r="C28" s="33">
        <f>SUMIF('Entrada 7TRAN'!$E$8:$E$43,'Reliquidación 7TRAN'!$B28,'Entrada 7TRAN'!F$8:F$43)</f>
        <v>19843499.850000001</v>
      </c>
      <c r="D28" s="33">
        <f>SUMIF('Entrada 7TRAN'!$E$8:$E$43,'Reliquidación 7TRAN'!$B28,'Entrada 7TRAN'!G$8:G$43)</f>
        <v>54383712.899999999</v>
      </c>
      <c r="E28" s="33">
        <f>SUMIF('Entrada 7TRAN'!$E$8:$E$43,'Reliquidación 7TRAN'!$B28,'Entrada 7TRAN'!H$8:H$43)</f>
        <v>345398.01299999998</v>
      </c>
      <c r="F28" s="33">
        <f>SUMIF('Entrada 7TRAN'!$E$8:$E$43,'Reliquidación 7TRAN'!$B28,'Entrada 7TRAN'!I$8:I$43)</f>
        <v>156948</v>
      </c>
      <c r="G28" s="33">
        <f>SUMIF('Entrada 7TRAN'!$E$8:$E$43,'Reliquidación 7TRAN'!$B28,'Entrada 7TRAN'!J$8:J$43)</f>
        <v>40161954.816559918</v>
      </c>
      <c r="H28" s="33">
        <v>36055212.877008796</v>
      </c>
      <c r="I28" s="33">
        <f t="shared" si="0"/>
        <v>36125378.706905678</v>
      </c>
      <c r="J28" s="33">
        <v>0</v>
      </c>
      <c r="K28" s="33">
        <f t="shared" si="2"/>
        <v>0</v>
      </c>
      <c r="L28" s="33">
        <f t="shared" si="3"/>
        <v>76287333.523465604</v>
      </c>
      <c r="M28" s="33">
        <f t="shared" si="4"/>
        <v>0</v>
      </c>
      <c r="N28" s="33">
        <f t="shared" si="6"/>
        <v>76287333.523465604</v>
      </c>
      <c r="O28" s="33">
        <f t="shared" si="1"/>
        <v>-42699826.827466458</v>
      </c>
      <c r="P28" s="33">
        <f t="shared" si="5"/>
        <v>33587506.695999146</v>
      </c>
      <c r="Q28" s="69"/>
    </row>
    <row r="29" spans="2:17" x14ac:dyDescent="0.3">
      <c r="B29" s="32" t="s">
        <v>36</v>
      </c>
      <c r="C29" s="33">
        <f>SUMIF('Entrada 7TRAN'!$E$8:$E$43,'Reliquidación 7TRAN'!$B29,'Entrada 7TRAN'!F$8:F$43)</f>
        <v>7133658.7800000003</v>
      </c>
      <c r="D29" s="33">
        <f>SUMIF('Entrada 7TRAN'!$E$8:$E$43,'Reliquidación 7TRAN'!$B29,'Entrada 7TRAN'!G$8:G$43)</f>
        <v>5963228.7599999998</v>
      </c>
      <c r="E29" s="33">
        <f>SUMIF('Entrada 7TRAN'!$E$8:$E$43,'Reliquidación 7TRAN'!$B29,'Entrada 7TRAN'!H$8:H$43)</f>
        <v>251094.44</v>
      </c>
      <c r="F29" s="33">
        <f>SUMIF('Entrada 7TRAN'!$E$8:$E$43,'Reliquidación 7TRAN'!$B29,'Entrada 7TRAN'!I$8:I$43)</f>
        <v>6185</v>
      </c>
      <c r="G29" s="33">
        <f>SUMIF('Entrada 7TRAN'!$E$8:$E$43,'Reliquidación 7TRAN'!$B29,'Entrada 7TRAN'!J$8:J$43)</f>
        <v>8973389.3723092992</v>
      </c>
      <c r="H29" s="33">
        <v>8411642.5178502258</v>
      </c>
      <c r="I29" s="33">
        <f t="shared" si="0"/>
        <v>8428012.1307568029</v>
      </c>
      <c r="J29" s="33">
        <v>0</v>
      </c>
      <c r="K29" s="33">
        <f t="shared" si="2"/>
        <v>0</v>
      </c>
      <c r="L29" s="33">
        <f t="shared" si="3"/>
        <v>17401401.5030661</v>
      </c>
      <c r="M29" s="33">
        <f t="shared" si="4"/>
        <v>0</v>
      </c>
      <c r="N29" s="33">
        <f t="shared" si="6"/>
        <v>17401401.5030661</v>
      </c>
      <c r="O29" s="33">
        <f t="shared" si="1"/>
        <v>-9739976.4340640195</v>
      </c>
      <c r="P29" s="33">
        <f t="shared" si="5"/>
        <v>7661425.0690020807</v>
      </c>
      <c r="Q29" s="69"/>
    </row>
    <row r="30" spans="2:17" x14ac:dyDescent="0.3">
      <c r="B30" s="32" t="s">
        <v>37</v>
      </c>
      <c r="C30" s="33">
        <f>SUMIF('Entrada 7TRAN'!$E$8:$E$43,'Reliquidación 7TRAN'!$B30,'Entrada 7TRAN'!F$8:F$43)</f>
        <v>39354660.060000002</v>
      </c>
      <c r="D30" s="33">
        <f>SUMIF('Entrada 7TRAN'!$E$8:$E$43,'Reliquidación 7TRAN'!$B30,'Entrada 7TRAN'!G$8:G$43)</f>
        <v>92812185.879999995</v>
      </c>
      <c r="E30" s="33">
        <f>SUMIF('Entrada 7TRAN'!$E$8:$E$43,'Reliquidación 7TRAN'!$B30,'Entrada 7TRAN'!H$8:H$43)</f>
        <v>214538.76500000001</v>
      </c>
      <c r="F30" s="33">
        <f>SUMIF('Entrada 7TRAN'!$E$8:$E$43,'Reliquidación 7TRAN'!$B30,'Entrada 7TRAN'!I$8:I$43)</f>
        <v>169489.5</v>
      </c>
      <c r="G30" s="33">
        <f>SUMIF('Entrada 7TRAN'!$E$8:$E$43,'Reliquidación 7TRAN'!$B30,'Entrada 7TRAN'!J$8:J$43)</f>
        <v>89089100.506446019</v>
      </c>
      <c r="H30" s="33">
        <v>76065912.875266314</v>
      </c>
      <c r="I30" s="33">
        <f t="shared" si="0"/>
        <v>76213942.174717769</v>
      </c>
      <c r="J30" s="33">
        <v>0</v>
      </c>
      <c r="K30" s="33">
        <f t="shared" si="2"/>
        <v>0</v>
      </c>
      <c r="L30" s="33">
        <f t="shared" si="3"/>
        <v>165303042.68116379</v>
      </c>
      <c r="M30" s="33">
        <f t="shared" si="4"/>
        <v>0</v>
      </c>
      <c r="N30" s="33">
        <f t="shared" si="6"/>
        <v>165303042.68116379</v>
      </c>
      <c r="O30" s="33">
        <f t="shared" si="1"/>
        <v>-92524026.867027134</v>
      </c>
      <c r="P30" s="33">
        <f t="shared" si="5"/>
        <v>72779015.814136654</v>
      </c>
      <c r="Q30" s="69"/>
    </row>
    <row r="31" spans="2:17" x14ac:dyDescent="0.3">
      <c r="B31" s="32" t="s">
        <v>38</v>
      </c>
      <c r="C31" s="33">
        <f>SUMIF('Entrada 7TRAN'!$E$8:$E$43,'Reliquidación 7TRAN'!$B31,'Entrada 7TRAN'!F$8:F$43)</f>
        <v>1443824</v>
      </c>
      <c r="D31" s="33">
        <f>SUMIF('Entrada 7TRAN'!$E$8:$E$43,'Reliquidación 7TRAN'!$B31,'Entrada 7TRAN'!G$8:G$43)</f>
        <v>3055711</v>
      </c>
      <c r="E31" s="33">
        <f>SUMIF('Entrada 7TRAN'!$E$8:$E$43,'Reliquidación 7TRAN'!$B31,'Entrada 7TRAN'!H$8:H$43)</f>
        <v>43473</v>
      </c>
      <c r="F31" s="33">
        <f>SUMIF('Entrada 7TRAN'!$E$8:$E$43,'Reliquidación 7TRAN'!$B31,'Entrada 7TRAN'!I$8:I$43)</f>
        <v>12997</v>
      </c>
      <c r="G31" s="33">
        <f>SUMIF('Entrada 7TRAN'!$E$8:$E$43,'Reliquidación 7TRAN'!$B31,'Entrada 7TRAN'!J$8:J$43)</f>
        <v>2646321.3662575982</v>
      </c>
      <c r="H31" s="33">
        <v>2549156.3662244901</v>
      </c>
      <c r="I31" s="33">
        <f t="shared" si="0"/>
        <v>2554117.19318128</v>
      </c>
      <c r="J31" s="33">
        <v>0</v>
      </c>
      <c r="K31" s="33">
        <f t="shared" si="2"/>
        <v>0</v>
      </c>
      <c r="L31" s="33">
        <f t="shared" si="3"/>
        <v>5200438.5594388787</v>
      </c>
      <c r="M31" s="33">
        <f t="shared" si="4"/>
        <v>0</v>
      </c>
      <c r="N31" s="33">
        <f t="shared" si="6"/>
        <v>5200438.5594388787</v>
      </c>
      <c r="O31" s="33">
        <f t="shared" si="1"/>
        <v>-2910808.5924462858</v>
      </c>
      <c r="P31" s="33">
        <f t="shared" si="5"/>
        <v>2289629.9669925929</v>
      </c>
      <c r="Q31" s="69"/>
    </row>
    <row r="32" spans="2:17" x14ac:dyDescent="0.3">
      <c r="B32" s="32" t="s">
        <v>39</v>
      </c>
      <c r="C32" s="33">
        <f>SUMIF('Entrada 7TRAN'!$E$8:$E$43,'Reliquidación 7TRAN'!$B32,'Entrada 7TRAN'!F$8:F$43)</f>
        <v>36541776.799900003</v>
      </c>
      <c r="D32" s="33">
        <f>SUMIF('Entrada 7TRAN'!$E$8:$E$43,'Reliquidación 7TRAN'!$B32,'Entrada 7TRAN'!G$8:G$43)</f>
        <v>128663570.79539999</v>
      </c>
      <c r="E32" s="33">
        <f>SUMIF('Entrada 7TRAN'!$E$8:$E$43,'Reliquidación 7TRAN'!$B32,'Entrada 7TRAN'!H$8:H$43)</f>
        <v>2135002.7999999998</v>
      </c>
      <c r="F32" s="33">
        <f>SUMIF('Entrada 7TRAN'!$E$8:$E$43,'Reliquidación 7TRAN'!$B32,'Entrada 7TRAN'!I$8:I$43)</f>
        <v>541320.1</v>
      </c>
      <c r="G32" s="33">
        <f>SUMIF('Entrada 7TRAN'!$E$8:$E$43,'Reliquidación 7TRAN'!$B32,'Entrada 7TRAN'!J$8:J$43)</f>
        <v>-117622216.27067479</v>
      </c>
      <c r="H32" s="33">
        <v>0</v>
      </c>
      <c r="I32" s="33">
        <f t="shared" si="0"/>
        <v>0</v>
      </c>
      <c r="J32" s="33">
        <v>0</v>
      </c>
      <c r="K32" s="33">
        <f t="shared" si="2"/>
        <v>0</v>
      </c>
      <c r="L32" s="33">
        <f t="shared" si="3"/>
        <v>-117622216.27067479</v>
      </c>
      <c r="M32" s="33">
        <f t="shared" si="4"/>
        <v>117622216.27067479</v>
      </c>
      <c r="N32" s="33">
        <f t="shared" si="6"/>
        <v>0</v>
      </c>
      <c r="O32" s="33">
        <f t="shared" si="1"/>
        <v>117622216.27067479</v>
      </c>
      <c r="P32" s="33">
        <f t="shared" si="5"/>
        <v>0</v>
      </c>
      <c r="Q32" s="69"/>
    </row>
    <row r="33" spans="2:17" x14ac:dyDescent="0.3">
      <c r="B33" s="32" t="s">
        <v>40</v>
      </c>
      <c r="C33" s="33">
        <f>SUMIF('Entrada 7TRAN'!$E$8:$E$43,'Reliquidación 7TRAN'!$B33,'Entrada 7TRAN'!F$8:F$43)</f>
        <v>1475178.1</v>
      </c>
      <c r="D33" s="33">
        <f>SUMIF('Entrada 7TRAN'!$E$8:$E$43,'Reliquidación 7TRAN'!$B33,'Entrada 7TRAN'!G$8:G$43)</f>
        <v>2100617</v>
      </c>
      <c r="E33" s="33">
        <f>SUMIF('Entrada 7TRAN'!$E$8:$E$43,'Reliquidación 7TRAN'!$B33,'Entrada 7TRAN'!H$8:H$43)</f>
        <v>44500</v>
      </c>
      <c r="F33" s="33">
        <f>SUMIF('Entrada 7TRAN'!$E$8:$E$43,'Reliquidación 7TRAN'!$B33,'Entrada 7TRAN'!I$8:I$43)</f>
        <v>101631</v>
      </c>
      <c r="G33" s="33">
        <f>SUMIF('Entrada 7TRAN'!$E$8:$E$43,'Reliquidación 7TRAN'!$B33,'Entrada 7TRAN'!J$8:J$43)</f>
        <v>2505094.717239283</v>
      </c>
      <c r="H33" s="33">
        <v>2675244.8879739032</v>
      </c>
      <c r="I33" s="33">
        <f t="shared" si="0"/>
        <v>2680451.0915368218</v>
      </c>
      <c r="J33" s="33">
        <v>0</v>
      </c>
      <c r="K33" s="33">
        <f t="shared" si="2"/>
        <v>0</v>
      </c>
      <c r="L33" s="33">
        <f t="shared" si="3"/>
        <v>5185545.8087761048</v>
      </c>
      <c r="M33" s="33">
        <f t="shared" si="4"/>
        <v>0</v>
      </c>
      <c r="N33" s="33">
        <f t="shared" si="6"/>
        <v>5185545.8087761048</v>
      </c>
      <c r="O33" s="33">
        <f t="shared" si="1"/>
        <v>-2902472.7672848324</v>
      </c>
      <c r="P33" s="33">
        <f t="shared" si="5"/>
        <v>2283073.0414912724</v>
      </c>
      <c r="Q33" s="69"/>
    </row>
    <row r="34" spans="2:17" x14ac:dyDescent="0.3">
      <c r="B34" s="32" t="s">
        <v>41</v>
      </c>
      <c r="C34" s="33">
        <f>SUMIF('Entrada 7TRAN'!$E$8:$E$43,'Reliquidación 7TRAN'!$B34,'Entrada 7TRAN'!F$8:F$43)</f>
        <v>1194031.6000000001</v>
      </c>
      <c r="D34" s="33">
        <f>SUMIF('Entrada 7TRAN'!$E$8:$E$43,'Reliquidación 7TRAN'!$B34,'Entrada 7TRAN'!G$8:G$43)</f>
        <v>8896470.5328899994</v>
      </c>
      <c r="E34" s="33">
        <f>SUMIF('Entrada 7TRAN'!$E$8:$E$43,'Reliquidación 7TRAN'!$B34,'Entrada 7TRAN'!H$8:H$43)</f>
        <v>4586</v>
      </c>
      <c r="F34" s="33">
        <f>SUMIF('Entrada 7TRAN'!$E$8:$E$43,'Reliquidación 7TRAN'!$B34,'Entrada 7TRAN'!I$8:I$43)</f>
        <v>29757</v>
      </c>
      <c r="G34" s="33">
        <f>SUMIF('Entrada 7TRAN'!$E$8:$E$43,'Reliquidación 7TRAN'!$B34,'Entrada 7TRAN'!J$8:J$43)</f>
        <v>7295644.3576849708</v>
      </c>
      <c r="H34" s="33">
        <v>6606945.7557895575</v>
      </c>
      <c r="I34" s="33">
        <f t="shared" si="0"/>
        <v>6619803.3093871474</v>
      </c>
      <c r="J34" s="33">
        <v>0</v>
      </c>
      <c r="K34" s="33">
        <f t="shared" si="2"/>
        <v>0</v>
      </c>
      <c r="L34" s="33">
        <f t="shared" si="3"/>
        <v>13915447.667072117</v>
      </c>
      <c r="M34" s="33">
        <f t="shared" si="4"/>
        <v>0</v>
      </c>
      <c r="N34" s="33">
        <f t="shared" si="6"/>
        <v>13915447.667072117</v>
      </c>
      <c r="O34" s="33">
        <f t="shared" si="1"/>
        <v>-7788805.5351663651</v>
      </c>
      <c r="P34" s="33">
        <f t="shared" si="5"/>
        <v>6126642.1319057522</v>
      </c>
      <c r="Q34" s="69"/>
    </row>
    <row r="35" spans="2:17" x14ac:dyDescent="0.3">
      <c r="B35" s="32" t="s">
        <v>42</v>
      </c>
      <c r="C35" s="33">
        <f>SUMIF('Entrada 7TRAN'!$E$8:$E$43,'Reliquidación 7TRAN'!$B35,'Entrada 7TRAN'!F$8:F$43)</f>
        <v>1197237</v>
      </c>
      <c r="D35" s="33">
        <f>SUMIF('Entrada 7TRAN'!$E$8:$E$43,'Reliquidación 7TRAN'!$B35,'Entrada 7TRAN'!G$8:G$43)</f>
        <v>6485116.0861</v>
      </c>
      <c r="E35" s="33">
        <f>SUMIF('Entrada 7TRAN'!$E$8:$E$43,'Reliquidación 7TRAN'!$B35,'Entrada 7TRAN'!H$8:H$43)</f>
        <v>208213</v>
      </c>
      <c r="F35" s="33">
        <f>SUMIF('Entrada 7TRAN'!$E$8:$E$43,'Reliquidación 7TRAN'!$B35,'Entrada 7TRAN'!I$8:I$43)</f>
        <v>24801</v>
      </c>
      <c r="G35" s="33">
        <f>SUMIF('Entrada 7TRAN'!$E$8:$E$43,'Reliquidación 7TRAN'!$B35,'Entrada 7TRAN'!J$8:J$43)</f>
        <v>4558294.2742910367</v>
      </c>
      <c r="H35" s="33">
        <v>5663469.3243790017</v>
      </c>
      <c r="I35" s="33">
        <f t="shared" si="0"/>
        <v>5674490.8104147697</v>
      </c>
      <c r="J35" s="33">
        <v>0</v>
      </c>
      <c r="K35" s="33">
        <f t="shared" si="2"/>
        <v>0</v>
      </c>
      <c r="L35" s="33">
        <f t="shared" si="3"/>
        <v>10232785.084705807</v>
      </c>
      <c r="M35" s="33">
        <f t="shared" si="4"/>
        <v>0</v>
      </c>
      <c r="N35" s="33">
        <f t="shared" si="6"/>
        <v>10232785.084705807</v>
      </c>
      <c r="O35" s="33">
        <f t="shared" si="1"/>
        <v>-5727532.0934532294</v>
      </c>
      <c r="P35" s="33">
        <f t="shared" si="5"/>
        <v>4505252.9912525779</v>
      </c>
      <c r="Q35" s="69"/>
    </row>
    <row r="36" spans="2:17" x14ac:dyDescent="0.3">
      <c r="B36" s="32" t="s">
        <v>43</v>
      </c>
      <c r="C36" s="33">
        <f>SUMIF('Entrada 7TRAN'!$E$8:$E$43,'Reliquidación 7TRAN'!$B36,'Entrada 7TRAN'!F$8:F$43)</f>
        <v>1872112.5</v>
      </c>
      <c r="D36" s="33">
        <f>SUMIF('Entrada 7TRAN'!$E$8:$E$43,'Reliquidación 7TRAN'!$B36,'Entrada 7TRAN'!G$8:G$43)</f>
        <v>4353240.0689000003</v>
      </c>
      <c r="E36" s="33">
        <f>SUMIF('Entrada 7TRAN'!$E$8:$E$43,'Reliquidación 7TRAN'!$B36,'Entrada 7TRAN'!H$8:H$43)</f>
        <v>668120.6</v>
      </c>
      <c r="F36" s="33">
        <f>SUMIF('Entrada 7TRAN'!$E$8:$E$43,'Reliquidación 7TRAN'!$B36,'Entrada 7TRAN'!I$8:I$43)</f>
        <v>58921.3</v>
      </c>
      <c r="G36" s="33">
        <f>SUMIF('Entrada 7TRAN'!$E$8:$E$43,'Reliquidación 7TRAN'!$B36,'Entrada 7TRAN'!J$8:J$43)</f>
        <v>3583689.4473216571</v>
      </c>
      <c r="H36" s="33">
        <v>5866432.2423131857</v>
      </c>
      <c r="I36" s="33">
        <f t="shared" si="0"/>
        <v>5877848.7076165481</v>
      </c>
      <c r="J36" s="33">
        <v>0</v>
      </c>
      <c r="K36" s="33">
        <f t="shared" si="2"/>
        <v>0</v>
      </c>
      <c r="L36" s="33">
        <f t="shared" si="3"/>
        <v>9461538.1549382061</v>
      </c>
      <c r="M36" s="33">
        <f t="shared" si="4"/>
        <v>0</v>
      </c>
      <c r="N36" s="33">
        <f t="shared" si="6"/>
        <v>9461538.1549382061</v>
      </c>
      <c r="O36" s="33">
        <f t="shared" si="1"/>
        <v>-5295846.9260569671</v>
      </c>
      <c r="P36" s="33">
        <f t="shared" si="5"/>
        <v>4165691.228881239</v>
      </c>
      <c r="Q36" s="69"/>
    </row>
    <row r="37" spans="2:17" x14ac:dyDescent="0.3">
      <c r="B37" s="32" t="s">
        <v>45</v>
      </c>
      <c r="C37" s="33">
        <f>SUMIF('Entrada 7TRAN'!$E$8:$E$43,'Reliquidación 7TRAN'!$B37,'Entrada 7TRAN'!F$8:F$43)</f>
        <v>461393</v>
      </c>
      <c r="D37" s="33">
        <f>SUMIF('Entrada 7TRAN'!$E$8:$E$43,'Reliquidación 7TRAN'!$B37,'Entrada 7TRAN'!G$8:G$43)</f>
        <v>822365</v>
      </c>
      <c r="E37" s="33">
        <f>SUMIF('Entrada 7TRAN'!$E$8:$E$43,'Reliquidación 7TRAN'!$B37,'Entrada 7TRAN'!H$8:H$43)</f>
        <v>35744</v>
      </c>
      <c r="F37" s="33">
        <f>SUMIF('Entrada 7TRAN'!$E$8:$E$43,'Reliquidación 7TRAN'!$B37,'Entrada 7TRAN'!I$8:I$43)</f>
        <v>10574</v>
      </c>
      <c r="G37" s="33">
        <f>SUMIF('Entrada 7TRAN'!$E$8:$E$43,'Reliquidación 7TRAN'!$B37,'Entrada 7TRAN'!J$8:J$43)</f>
        <v>882853.46903721488</v>
      </c>
      <c r="H37" s="33">
        <v>809632.52303059516</v>
      </c>
      <c r="I37" s="33">
        <f t="shared" si="0"/>
        <v>811208.12149076047</v>
      </c>
      <c r="J37" s="33">
        <v>0</v>
      </c>
      <c r="K37" s="33">
        <f t="shared" si="2"/>
        <v>0</v>
      </c>
      <c r="L37" s="33">
        <f t="shared" si="3"/>
        <v>1694061.5905279755</v>
      </c>
      <c r="M37" s="33">
        <f t="shared" si="4"/>
        <v>0</v>
      </c>
      <c r="N37" s="33">
        <f t="shared" si="6"/>
        <v>1694061.5905279755</v>
      </c>
      <c r="O37" s="33">
        <f t="shared" si="1"/>
        <v>-948206.38249673147</v>
      </c>
      <c r="P37" s="33">
        <f t="shared" si="5"/>
        <v>745855.20803124399</v>
      </c>
      <c r="Q37" s="69"/>
    </row>
    <row r="38" spans="2:17" x14ac:dyDescent="0.3">
      <c r="B38" s="32" t="s">
        <v>46</v>
      </c>
      <c r="C38" s="33">
        <f>SUMIF('Entrada 7TRAN'!$E$8:$E$43,'Reliquidación 7TRAN'!$B38,'Entrada 7TRAN'!F$8:F$43)</f>
        <v>3961195.628</v>
      </c>
      <c r="D38" s="33">
        <f>SUMIF('Entrada 7TRAN'!$E$8:$E$43,'Reliquidación 7TRAN'!$B38,'Entrada 7TRAN'!G$8:G$43)</f>
        <v>16909394.219999999</v>
      </c>
      <c r="E38" s="33">
        <f>SUMIF('Entrada 7TRAN'!$E$8:$E$43,'Reliquidación 7TRAN'!$B38,'Entrada 7TRAN'!H$8:H$43)</f>
        <v>23031</v>
      </c>
      <c r="F38" s="33">
        <f>SUMIF('Entrada 7TRAN'!$E$8:$E$43,'Reliquidación 7TRAN'!$B38,'Entrada 7TRAN'!I$8:I$43)</f>
        <v>27201.012999999999</v>
      </c>
      <c r="G38" s="33">
        <f>SUMIF('Entrada 7TRAN'!$E$8:$E$43,'Reliquidación 7TRAN'!$B38,'Entrada 7TRAN'!J$8:J$43)</f>
        <v>14502371.286225021</v>
      </c>
      <c r="H38" s="33">
        <v>12907026.81325851</v>
      </c>
      <c r="I38" s="33">
        <f t="shared" si="0"/>
        <v>12932144.741446672</v>
      </c>
      <c r="J38" s="33">
        <v>0</v>
      </c>
      <c r="K38" s="33">
        <f t="shared" si="2"/>
        <v>0</v>
      </c>
      <c r="L38" s="33">
        <f t="shared" si="3"/>
        <v>27434516.027671695</v>
      </c>
      <c r="M38" s="33">
        <f>IF(L38&lt;0,-L38,0)</f>
        <v>0</v>
      </c>
      <c r="N38" s="33">
        <f>IF(L38&gt;0,L38,0)</f>
        <v>27434516.027671695</v>
      </c>
      <c r="O38" s="33">
        <f t="shared" si="1"/>
        <v>-15355748.187431436</v>
      </c>
      <c r="P38" s="33">
        <f t="shared" si="5"/>
        <v>12078767.840240259</v>
      </c>
      <c r="Q38" s="69"/>
    </row>
    <row r="39" spans="2:17" x14ac:dyDescent="0.3">
      <c r="B39" s="32" t="s">
        <v>47</v>
      </c>
      <c r="C39" s="33">
        <f>SUMIF('Entrada 7TRAN'!$E$8:$E$43,'Reliquidación 7TRAN'!$B39,'Entrada 7TRAN'!F$8:F$43)</f>
        <v>6290359.4550000001</v>
      </c>
      <c r="D39" s="33">
        <f>SUMIF('Entrada 7TRAN'!$E$8:$E$43,'Reliquidación 7TRAN'!$B39,'Entrada 7TRAN'!G$8:G$43)</f>
        <v>26313027.732999999</v>
      </c>
      <c r="E39" s="33">
        <f>SUMIF('Entrada 7TRAN'!$E$8:$E$43,'Reliquidación 7TRAN'!$B39,'Entrada 7TRAN'!H$8:H$43)</f>
        <v>21082.98</v>
      </c>
      <c r="F39" s="33">
        <f>SUMIF('Entrada 7TRAN'!$E$8:$E$43,'Reliquidación 7TRAN'!$B39,'Entrada 7TRAN'!I$8:I$43)</f>
        <v>13251.951999999999</v>
      </c>
      <c r="G39" s="33">
        <f>SUMIF('Entrada 7TRAN'!$E$8:$E$43,'Reliquidación 7TRAN'!$B39,'Entrada 7TRAN'!J$8:J$43)</f>
        <v>21175651.675715338</v>
      </c>
      <c r="H39" s="33">
        <v>17901556.383610718</v>
      </c>
      <c r="I39" s="33">
        <f t="shared" si="0"/>
        <v>17936393.996812075</v>
      </c>
      <c r="J39" s="33">
        <v>0</v>
      </c>
      <c r="K39" s="33">
        <f t="shared" si="2"/>
        <v>0</v>
      </c>
      <c r="L39" s="33">
        <f t="shared" si="3"/>
        <v>39112045.672527418</v>
      </c>
      <c r="M39" s="33">
        <f t="shared" si="4"/>
        <v>0</v>
      </c>
      <c r="N39" s="33">
        <f t="shared" si="6"/>
        <v>39112045.672527418</v>
      </c>
      <c r="O39" s="33">
        <f t="shared" si="1"/>
        <v>-21891938.018402126</v>
      </c>
      <c r="P39" s="33">
        <f t="shared" si="5"/>
        <v>17220107.654125292</v>
      </c>
      <c r="Q39" s="69"/>
    </row>
    <row r="40" spans="2:17" x14ac:dyDescent="0.3">
      <c r="B40" s="32" t="s">
        <v>48</v>
      </c>
      <c r="C40" s="33">
        <f>SUMIF('Entrada 7TRAN'!$E$8:$E$43,'Reliquidación 7TRAN'!$B40,'Entrada 7TRAN'!F$8:F$43)</f>
        <v>14002507.805</v>
      </c>
      <c r="D40" s="33">
        <f>SUMIF('Entrada 7TRAN'!$E$8:$E$43,'Reliquidación 7TRAN'!$B40,'Entrada 7TRAN'!G$8:G$43)</f>
        <v>49466280.186999999</v>
      </c>
      <c r="E40" s="33">
        <f>SUMIF('Entrada 7TRAN'!$E$8:$E$43,'Reliquidación 7TRAN'!$B40,'Entrada 7TRAN'!H$8:H$43)</f>
        <v>77651.819999999992</v>
      </c>
      <c r="F40" s="33">
        <f>SUMIF('Entrada 7TRAN'!$E$8:$E$43,'Reliquidación 7TRAN'!$B40,'Entrada 7TRAN'!I$8:I$43)</f>
        <v>49683.195</v>
      </c>
      <c r="G40" s="33">
        <f>SUMIF('Entrada 7TRAN'!$E$8:$E$43,'Reliquidación 7TRAN'!$B40,'Entrada 7TRAN'!J$8:J$43)</f>
        <v>-106725868.7378682</v>
      </c>
      <c r="H40" s="33">
        <v>0</v>
      </c>
      <c r="I40" s="33">
        <f t="shared" si="0"/>
        <v>0</v>
      </c>
      <c r="J40" s="33">
        <v>0</v>
      </c>
      <c r="K40" s="33">
        <f t="shared" si="2"/>
        <v>0</v>
      </c>
      <c r="L40" s="33">
        <f t="shared" si="3"/>
        <v>-106725868.7378682</v>
      </c>
      <c r="M40" s="33">
        <f t="shared" si="4"/>
        <v>106725868.7378682</v>
      </c>
      <c r="N40" s="33">
        <f t="shared" si="6"/>
        <v>0</v>
      </c>
      <c r="O40" s="33">
        <f t="shared" si="1"/>
        <v>106725868.7378682</v>
      </c>
      <c r="P40" s="33">
        <f t="shared" si="5"/>
        <v>0</v>
      </c>
      <c r="Q40" s="69"/>
    </row>
    <row r="41" spans="2:17" x14ac:dyDescent="0.3">
      <c r="B41" s="32" t="s">
        <v>49</v>
      </c>
      <c r="C41" s="33">
        <f>SUMIF('Entrada 7TRAN'!$E$8:$E$43,'Reliquidación 7TRAN'!$B41,'Entrada 7TRAN'!F$8:F$43)</f>
        <v>0</v>
      </c>
      <c r="D41" s="33">
        <f>SUMIF('Entrada 7TRAN'!$E$8:$E$43,'Reliquidación 7TRAN'!$B41,'Entrada 7TRAN'!G$8:G$43)</f>
        <v>0</v>
      </c>
      <c r="E41" s="33">
        <f>SUMIF('Entrada 7TRAN'!$E$8:$E$43,'Reliquidación 7TRAN'!$B41,'Entrada 7TRAN'!H$8:H$43)</f>
        <v>0</v>
      </c>
      <c r="F41" s="33">
        <f>SUMIF('Entrada 7TRAN'!$E$8:$E$43,'Reliquidación 7TRAN'!$B41,'Entrada 7TRAN'!I$8:I$43)</f>
        <v>0</v>
      </c>
      <c r="G41" s="33">
        <f>SUMIF('Entrada 7TRAN'!$E$8:$E$43,'Reliquidación 7TRAN'!$B41,'Entrada 7TRAN'!J$8:J$43)</f>
        <v>0</v>
      </c>
      <c r="H41" s="33">
        <v>0</v>
      </c>
      <c r="I41" s="33">
        <f t="shared" si="0"/>
        <v>0</v>
      </c>
      <c r="J41" s="33">
        <v>0</v>
      </c>
      <c r="K41" s="33">
        <f t="shared" si="2"/>
        <v>0</v>
      </c>
      <c r="L41" s="33">
        <f t="shared" si="3"/>
        <v>0</v>
      </c>
      <c r="M41" s="33">
        <f>IF(L41&lt;0,-L41,0)</f>
        <v>0</v>
      </c>
      <c r="N41" s="33">
        <f>IF(L41&gt;0,L41,0)</f>
        <v>0</v>
      </c>
      <c r="O41" s="33">
        <f t="shared" si="1"/>
        <v>0</v>
      </c>
      <c r="P41" s="33">
        <f>L41+O41</f>
        <v>0</v>
      </c>
      <c r="Q41" s="69"/>
    </row>
    <row r="42" spans="2:17" x14ac:dyDescent="0.3">
      <c r="B42" s="32" t="s">
        <v>50</v>
      </c>
      <c r="C42" s="33">
        <f>SUMIF('Entrada 7TRAN'!$E$8:$E$43,'Reliquidación 7TRAN'!$B42,'Entrada 7TRAN'!F$8:F$43)</f>
        <v>0</v>
      </c>
      <c r="D42" s="33">
        <f>SUMIF('Entrada 7TRAN'!$E$8:$E$43,'Reliquidación 7TRAN'!$B42,'Entrada 7TRAN'!G$8:G$43)</f>
        <v>14290</v>
      </c>
      <c r="E42" s="33">
        <f>SUMIF('Entrada 7TRAN'!$E$8:$E$43,'Reliquidación 7TRAN'!$B42,'Entrada 7TRAN'!H$8:H$43)</f>
        <v>0</v>
      </c>
      <c r="F42" s="33">
        <f>SUMIF('Entrada 7TRAN'!$E$8:$E$43,'Reliquidación 7TRAN'!$B42,'Entrada 7TRAN'!I$8:I$43)</f>
        <v>0</v>
      </c>
      <c r="G42" s="33">
        <f>SUMIF('Entrada 7TRAN'!$E$8:$E$43,'Reliquidación 7TRAN'!$B42,'Entrada 7TRAN'!J$8:J$43)</f>
        <v>15099.7295603</v>
      </c>
      <c r="H42" s="33">
        <v>11819.359154877367</v>
      </c>
      <c r="I42" s="33">
        <f t="shared" si="0"/>
        <v>11842.36040983543</v>
      </c>
      <c r="J42" s="33">
        <v>0</v>
      </c>
      <c r="K42" s="33">
        <f t="shared" si="2"/>
        <v>0</v>
      </c>
      <c r="L42" s="33">
        <f t="shared" si="3"/>
        <v>26942.089970135428</v>
      </c>
      <c r="M42" s="33">
        <f>IF(L42&lt;0,-L42,0)</f>
        <v>0</v>
      </c>
      <c r="N42" s="33">
        <f>IF(L42&gt;0,L42,0)</f>
        <v>26942.089970135428</v>
      </c>
      <c r="O42" s="33">
        <f t="shared" si="1"/>
        <v>-15080.125663861872</v>
      </c>
      <c r="P42" s="33">
        <f>L42+O42</f>
        <v>11861.964306273556</v>
      </c>
      <c r="Q42" s="69"/>
    </row>
    <row r="43" spans="2:17" x14ac:dyDescent="0.3">
      <c r="B43" s="34" t="s">
        <v>51</v>
      </c>
      <c r="C43" s="35">
        <f>SUMIF('Entrada 7TRAN'!$E$8:$E$43,'Reliquidación 7TRAN'!$B43,'Entrada 7TRAN'!F$8:F$43)</f>
        <v>32785.800000000003</v>
      </c>
      <c r="D43" s="35">
        <f>SUMIF('Entrada 7TRAN'!$E$8:$E$43,'Reliquidación 7TRAN'!$B43,'Entrada 7TRAN'!G$8:G$43)</f>
        <v>63849.399999999987</v>
      </c>
      <c r="E43" s="35">
        <f>SUMIF('Entrada 7TRAN'!$E$8:$E$43,'Reliquidación 7TRAN'!$B43,'Entrada 7TRAN'!H$8:H$43)</f>
        <v>0</v>
      </c>
      <c r="F43" s="35">
        <f>SUMIF('Entrada 7TRAN'!$E$8:$E$43,'Reliquidación 7TRAN'!$B43,'Entrada 7TRAN'!I$8:I$43)</f>
        <v>0</v>
      </c>
      <c r="G43" s="35">
        <f>SUMIF('Entrada 7TRAN'!$E$8:$E$43,'Reliquidación 7TRAN'!$B43,'Entrada 7TRAN'!J$8:J$43)</f>
        <v>-2555848.662296616</v>
      </c>
      <c r="H43" s="35">
        <v>0</v>
      </c>
      <c r="I43" s="35">
        <f t="shared" si="0"/>
        <v>0</v>
      </c>
      <c r="J43" s="35">
        <v>0</v>
      </c>
      <c r="K43" s="35">
        <f t="shared" si="2"/>
        <v>0</v>
      </c>
      <c r="L43" s="35">
        <f t="shared" si="3"/>
        <v>-2555848.662296616</v>
      </c>
      <c r="M43" s="35">
        <f t="shared" si="4"/>
        <v>2555848.662296616</v>
      </c>
      <c r="N43" s="35">
        <f t="shared" si="6"/>
        <v>0</v>
      </c>
      <c r="O43" s="35">
        <f>IF(OR($M$44=0,$N$44=0),0,((M43/$M$44-N43/$N$44)*$N$49))</f>
        <v>2555848.662296616</v>
      </c>
      <c r="P43" s="35">
        <f t="shared" si="5"/>
        <v>0</v>
      </c>
      <c r="Q43" s="69"/>
    </row>
    <row r="44" spans="2:17" x14ac:dyDescent="0.3">
      <c r="B44" s="36" t="s">
        <v>66</v>
      </c>
      <c r="C44" s="13">
        <f t="shared" ref="C44:O44" si="7">SUM(C9:C43)</f>
        <v>444233908.87722719</v>
      </c>
      <c r="D44" s="13">
        <f t="shared" si="7"/>
        <v>1573315263.2707455</v>
      </c>
      <c r="E44" s="13">
        <f t="shared" si="7"/>
        <v>13592691.643000001</v>
      </c>
      <c r="F44" s="13">
        <f t="shared" si="7"/>
        <v>4248187.83</v>
      </c>
      <c r="G44" s="13">
        <f t="shared" si="7"/>
        <v>-37162936.493953176</v>
      </c>
      <c r="H44" s="13">
        <f t="shared" si="7"/>
        <v>639451155.62903762</v>
      </c>
      <c r="I44" s="13">
        <f>SUM(I9:I43)</f>
        <v>640695569.88797665</v>
      </c>
      <c r="J44" s="13">
        <f t="shared" ref="J44:K44" si="8">SUM(J9:J43)</f>
        <v>0</v>
      </c>
      <c r="K44" s="13">
        <f t="shared" si="8"/>
        <v>0</v>
      </c>
      <c r="L44" s="13">
        <f>SUM(L9:L43)</f>
        <v>603532633.39402342</v>
      </c>
      <c r="M44" s="13">
        <f t="shared" si="7"/>
        <v>767271568.08335936</v>
      </c>
      <c r="N44" s="13">
        <f t="shared" si="7"/>
        <v>1370804201.4773827</v>
      </c>
      <c r="O44" s="13">
        <f t="shared" si="7"/>
        <v>-1.5646219253540039E-7</v>
      </c>
      <c r="P44" s="13">
        <f>SUM(P9:P43)</f>
        <v>603532633.39402354</v>
      </c>
    </row>
    <row r="45" spans="2:17" x14ac:dyDescent="0.3">
      <c r="B45" s="40"/>
      <c r="C45"/>
      <c r="D45"/>
      <c r="E45"/>
      <c r="F45"/>
      <c r="G45"/>
      <c r="H45"/>
      <c r="I45"/>
      <c r="J45"/>
      <c r="K45"/>
      <c r="L45"/>
      <c r="M45" s="41"/>
      <c r="N45" s="41"/>
      <c r="O45"/>
    </row>
    <row r="46" spans="2:17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7" x14ac:dyDescent="0.3">
      <c r="B47"/>
      <c r="C47"/>
      <c r="H47" s="48"/>
      <c r="I47" s="14"/>
      <c r="J47" s="14"/>
      <c r="K47" s="14"/>
      <c r="L47" s="14"/>
      <c r="M47" s="4" t="s">
        <v>91</v>
      </c>
      <c r="N47" s="43">
        <f>N44</f>
        <v>1370804201.4773827</v>
      </c>
      <c r="O47"/>
    </row>
    <row r="48" spans="2:17" x14ac:dyDescent="0.3">
      <c r="B48"/>
      <c r="C48"/>
      <c r="H48" s="42"/>
      <c r="I48" s="14"/>
      <c r="J48" s="14"/>
      <c r="K48" s="14"/>
      <c r="L48" s="14"/>
      <c r="M48" s="4" t="s">
        <v>92</v>
      </c>
      <c r="N48" s="43">
        <f>M44</f>
        <v>767271568.08335936</v>
      </c>
      <c r="O48"/>
    </row>
    <row r="49" spans="2:16" x14ac:dyDescent="0.3">
      <c r="B49"/>
      <c r="C49"/>
      <c r="H49" s="42"/>
      <c r="I49"/>
      <c r="J49"/>
      <c r="K49"/>
      <c r="L49"/>
      <c r="M49" s="4" t="s">
        <v>69</v>
      </c>
      <c r="N49" s="43">
        <f>+IF(N48&lt;N47,N48,N47)</f>
        <v>767271568.08335936</v>
      </c>
      <c r="O49"/>
      <c r="P49" s="44"/>
    </row>
    <row r="50" spans="2:16" x14ac:dyDescent="0.3">
      <c r="M50" s="14"/>
      <c r="N50"/>
    </row>
    <row r="51" spans="2:16" x14ac:dyDescent="0.3">
      <c r="G51" s="44"/>
      <c r="H51" s="44"/>
    </row>
    <row r="52" spans="2:16" x14ac:dyDescent="0.3">
      <c r="H52" s="8"/>
    </row>
  </sheetData>
  <dataConsolidate/>
  <mergeCells count="15">
    <mergeCell ref="G6:G7"/>
    <mergeCell ref="B6:B8"/>
    <mergeCell ref="C6:C7"/>
    <mergeCell ref="D6:D7"/>
    <mergeCell ref="E6:E7"/>
    <mergeCell ref="F6:F7"/>
    <mergeCell ref="N6:N7"/>
    <mergeCell ref="O6:O7"/>
    <mergeCell ref="P6:P7"/>
    <mergeCell ref="H6:H7"/>
    <mergeCell ref="I6:I7"/>
    <mergeCell ref="J6:J7"/>
    <mergeCell ref="K6:K7"/>
    <mergeCell ref="L6:L7"/>
    <mergeCell ref="M6:M7"/>
  </mergeCell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8BCE-E148-40DF-96D3-DC8FF2741CFB}">
  <sheetPr codeName="Hoja3">
    <tabColor theme="7" tint="0.79998168889431442"/>
  </sheetPr>
  <dimension ref="A2:O91"/>
  <sheetViews>
    <sheetView tabSelected="1" topLeftCell="A44" zoomScale="90" zoomScaleNormal="90" workbookViewId="0">
      <selection activeCell="J53" sqref="J53"/>
    </sheetView>
  </sheetViews>
  <sheetFormatPr baseColWidth="10" defaultColWidth="11.3984375" defaultRowHeight="13" x14ac:dyDescent="0.3"/>
  <cols>
    <col min="1" max="1" width="9.09765625" style="70" customWidth="1"/>
    <col min="2" max="2" width="23.8984375" style="70" customWidth="1"/>
    <col min="3" max="3" width="17" style="70" customWidth="1"/>
    <col min="4" max="4" width="16.09765625" style="70" customWidth="1"/>
    <col min="5" max="5" width="20.296875" style="70" customWidth="1"/>
    <col min="6" max="6" width="20.09765625" style="70" customWidth="1"/>
    <col min="7" max="7" width="15.69921875" style="70" customWidth="1"/>
    <col min="8" max="8" width="9.8984375" style="70" customWidth="1"/>
    <col min="9" max="9" width="13.59765625" style="70" customWidth="1"/>
    <col min="10" max="10" width="13.69921875" style="70" customWidth="1"/>
    <col min="11" max="11" width="14" style="70" bestFit="1" customWidth="1"/>
    <col min="12" max="12" width="14.69921875" style="70" customWidth="1"/>
    <col min="13" max="16" width="10.8984375" style="70" customWidth="1"/>
    <col min="17" max="17" width="13.296875" style="70" bestFit="1" customWidth="1"/>
    <col min="18" max="18" width="15.8984375" style="70" bestFit="1" customWidth="1"/>
    <col min="19" max="19" width="17" style="70" bestFit="1" customWidth="1"/>
    <col min="20" max="20" width="17.8984375" style="70" customWidth="1"/>
    <col min="21" max="16384" width="11.3984375" style="70"/>
  </cols>
  <sheetData>
    <row r="2" spans="1:10" x14ac:dyDescent="0.3">
      <c r="B2" s="71" t="s">
        <v>96</v>
      </c>
      <c r="C2" s="71"/>
      <c r="D2" s="71"/>
      <c r="E2" s="71"/>
      <c r="F2" s="71"/>
      <c r="G2" s="71"/>
      <c r="H2" s="71"/>
      <c r="J2" s="40" t="s">
        <v>94</v>
      </c>
    </row>
    <row r="3" spans="1:10" x14ac:dyDescent="0.3">
      <c r="B3" s="72">
        <f>FechaFacturacion</f>
        <v>45778</v>
      </c>
      <c r="C3" s="73"/>
      <c r="D3" s="73"/>
      <c r="E3" s="73"/>
      <c r="F3" s="73"/>
      <c r="G3" s="73"/>
      <c r="H3" s="73"/>
    </row>
    <row r="6" spans="1:10" ht="12.75" customHeight="1" x14ac:dyDescent="0.3">
      <c r="B6" s="124" t="s">
        <v>6</v>
      </c>
      <c r="C6" s="125" t="s">
        <v>78</v>
      </c>
      <c r="E6" s="124" t="s">
        <v>6</v>
      </c>
      <c r="F6" s="105" t="s">
        <v>79</v>
      </c>
      <c r="G6" s="125" t="s">
        <v>80</v>
      </c>
      <c r="I6" s="124" t="s">
        <v>81</v>
      </c>
      <c r="J6" s="117" cm="1">
        <f t="array" ref="J6">SUMPRODUCT(($G$8:$G$32&gt;0)*($G$8:$G$32))</f>
        <v>711780795.18812871</v>
      </c>
    </row>
    <row r="7" spans="1:10" ht="27" customHeight="1" x14ac:dyDescent="0.3">
      <c r="B7" s="124"/>
      <c r="C7" s="126"/>
      <c r="E7" s="124"/>
      <c r="F7" s="106"/>
      <c r="G7" s="126"/>
      <c r="I7" s="124"/>
      <c r="J7" s="117"/>
    </row>
    <row r="8" spans="1:10" x14ac:dyDescent="0.3">
      <c r="B8" s="75" t="s">
        <v>14</v>
      </c>
      <c r="C8" s="76">
        <f>'Reliquidación 7TRAN'!O9</f>
        <v>-4791203.2099699406</v>
      </c>
      <c r="D8" s="77"/>
      <c r="E8" s="75" t="s">
        <v>14</v>
      </c>
      <c r="F8" s="78">
        <v>0</v>
      </c>
      <c r="G8" s="78">
        <f>VLOOKUP(E8,$B$8:$C$42,2,0)+F8</f>
        <v>-4791203.2099699406</v>
      </c>
      <c r="H8" s="79"/>
      <c r="J8" s="40"/>
    </row>
    <row r="9" spans="1:10" x14ac:dyDescent="0.3">
      <c r="B9" s="80" t="s">
        <v>15</v>
      </c>
      <c r="C9" s="78">
        <f>'Reliquidación 7TRAN'!O10</f>
        <v>-3129160.2956907605</v>
      </c>
      <c r="D9" s="77"/>
      <c r="E9" s="80" t="s">
        <v>15</v>
      </c>
      <c r="F9" s="78">
        <v>0</v>
      </c>
      <c r="G9" s="78">
        <f>VLOOKUP(E9,$B$8:$C$42,2,0)+F9</f>
        <v>-3129160.2956907605</v>
      </c>
      <c r="H9" s="79"/>
      <c r="J9" s="40"/>
    </row>
    <row r="10" spans="1:10" x14ac:dyDescent="0.3">
      <c r="B10" s="80" t="s">
        <v>16</v>
      </c>
      <c r="C10" s="78">
        <f>'Reliquidación 7TRAN'!O11</f>
        <v>-6869201.8719140636</v>
      </c>
      <c r="D10" s="77"/>
      <c r="E10" s="80" t="s">
        <v>16</v>
      </c>
      <c r="F10" s="78">
        <v>0</v>
      </c>
      <c r="G10" s="78">
        <f>VLOOKUP(E10,$B$8:$C$42,2,0)+F10</f>
        <v>-6869201.8719140636</v>
      </c>
      <c r="H10" s="79"/>
      <c r="J10" s="40"/>
    </row>
    <row r="11" spans="1:10" x14ac:dyDescent="0.3">
      <c r="B11" s="80" t="s">
        <v>17</v>
      </c>
      <c r="C11" s="78">
        <f>'Reliquidación 7TRAN'!O12</f>
        <v>-1525901.6309955907</v>
      </c>
      <c r="D11" s="77"/>
      <c r="E11" s="80" t="s">
        <v>17</v>
      </c>
      <c r="F11" s="78">
        <v>0</v>
      </c>
      <c r="G11" s="78">
        <f>VLOOKUP(E11,$B$8:$C$42,2,0)+F11</f>
        <v>-1525901.6309955907</v>
      </c>
      <c r="H11" s="79"/>
      <c r="I11" s="40"/>
      <c r="J11" s="40"/>
    </row>
    <row r="12" spans="1:10" x14ac:dyDescent="0.3">
      <c r="B12" s="80" t="s">
        <v>18</v>
      </c>
      <c r="C12" s="78">
        <f>'Reliquidación 7TRAN'!O13</f>
        <v>451951103.05764067</v>
      </c>
      <c r="D12" s="77"/>
      <c r="E12" s="80" t="s">
        <v>82</v>
      </c>
      <c r="F12" s="78">
        <v>0</v>
      </c>
      <c r="G12" s="78">
        <f>C12+C13+C14+C15+C16+C18+C19+C20+C37+C38+C39+F12</f>
        <v>591602730.25515723</v>
      </c>
      <c r="H12" s="79"/>
      <c r="I12" s="40"/>
      <c r="J12" s="40"/>
    </row>
    <row r="13" spans="1:10" x14ac:dyDescent="0.3">
      <c r="B13" s="80" t="s">
        <v>20</v>
      </c>
      <c r="C13" s="78">
        <f>'Reliquidación 7TRAN'!O14</f>
        <v>-600209.43148964678</v>
      </c>
      <c r="D13" s="77"/>
      <c r="E13" s="80" t="s">
        <v>83</v>
      </c>
      <c r="F13" s="78">
        <v>0</v>
      </c>
      <c r="G13" s="78">
        <f>C17+F13</f>
        <v>-483791816.0472607</v>
      </c>
      <c r="H13" s="79"/>
      <c r="I13" s="40"/>
      <c r="J13" s="40"/>
    </row>
    <row r="14" spans="1:10" x14ac:dyDescent="0.3">
      <c r="B14" s="80" t="s">
        <v>21</v>
      </c>
      <c r="C14" s="78">
        <f>'Reliquidación 7TRAN'!O15</f>
        <v>20004259.938767839</v>
      </c>
      <c r="D14" s="77"/>
      <c r="E14" s="80" t="s">
        <v>29</v>
      </c>
      <c r="F14" s="78">
        <v>0</v>
      </c>
      <c r="G14" s="78">
        <f>VLOOKUP(E14,$B$8:$C$42,2,0)+F14</f>
        <v>-6871500.1473459601</v>
      </c>
      <c r="H14" s="79"/>
      <c r="I14" s="40"/>
      <c r="J14" s="40"/>
    </row>
    <row r="15" spans="1:10" x14ac:dyDescent="0.3">
      <c r="B15" s="80" t="s">
        <v>22</v>
      </c>
      <c r="C15" s="78">
        <f>'Reliquidación 7TRAN'!O16</f>
        <v>0</v>
      </c>
      <c r="D15" s="77"/>
      <c r="E15" s="80" t="s">
        <v>30</v>
      </c>
      <c r="F15" s="78">
        <v>0</v>
      </c>
      <c r="G15" s="78">
        <f t="shared" ref="G15:G32" si="0">VLOOKUP(E15,$B$8:$C$42,2,0)+F15</f>
        <v>-13036245.0986154</v>
      </c>
      <c r="H15" s="79"/>
      <c r="I15" s="40"/>
      <c r="J15" s="40"/>
    </row>
    <row r="16" spans="1:10" x14ac:dyDescent="0.3">
      <c r="A16" s="40"/>
      <c r="B16" s="80" t="s">
        <v>23</v>
      </c>
      <c r="C16" s="78">
        <f>'Reliquidación 7TRAN'!O17</f>
        <v>0</v>
      </c>
      <c r="D16" s="77"/>
      <c r="E16" s="80" t="s">
        <v>31</v>
      </c>
      <c r="F16" s="78">
        <v>0</v>
      </c>
      <c r="G16" s="78">
        <f t="shared" si="0"/>
        <v>-10476790.431174258</v>
      </c>
      <c r="H16" s="79"/>
      <c r="I16" s="40"/>
      <c r="J16" s="40"/>
    </row>
    <row r="17" spans="1:10" x14ac:dyDescent="0.3">
      <c r="B17" s="80" t="s">
        <v>24</v>
      </c>
      <c r="C17" s="78">
        <f>'Reliquidación 7TRAN'!O18</f>
        <v>-483791816.0472607</v>
      </c>
      <c r="D17" s="77"/>
      <c r="E17" s="80" t="s">
        <v>32</v>
      </c>
      <c r="F17" s="78">
        <v>0</v>
      </c>
      <c r="G17" s="78">
        <f t="shared" si="0"/>
        <v>-2813616.9399893014</v>
      </c>
      <c r="H17" s="79"/>
      <c r="I17" s="40"/>
      <c r="J17" s="40"/>
    </row>
    <row r="18" spans="1:10" x14ac:dyDescent="0.3">
      <c r="B18" s="80" t="s">
        <v>26</v>
      </c>
      <c r="C18" s="78">
        <f>'Reliquidación 7TRAN'!O19</f>
        <v>68412271.416111171</v>
      </c>
      <c r="D18" s="77"/>
      <c r="E18" s="80" t="s">
        <v>33</v>
      </c>
      <c r="F18" s="78">
        <v>0</v>
      </c>
      <c r="G18" s="78">
        <f t="shared" si="0"/>
        <v>-2676986.7157191667</v>
      </c>
      <c r="H18" s="79"/>
      <c r="I18" s="40"/>
      <c r="J18" s="40"/>
    </row>
    <row r="19" spans="1:10" x14ac:dyDescent="0.3">
      <c r="B19" s="80" t="s">
        <v>27</v>
      </c>
      <c r="C19" s="78">
        <f>'Reliquidación 7TRAN'!O20</f>
        <v>-17642877.257907361</v>
      </c>
      <c r="D19" s="77"/>
      <c r="E19" s="80" t="s">
        <v>34</v>
      </c>
      <c r="F19" s="78">
        <v>0</v>
      </c>
      <c r="G19" s="78">
        <f t="shared" si="0"/>
        <v>-5245790.2483278364</v>
      </c>
      <c r="H19" s="79"/>
      <c r="I19" s="40"/>
      <c r="J19" s="40"/>
    </row>
    <row r="20" spans="1:10" x14ac:dyDescent="0.3">
      <c r="B20" s="80" t="s">
        <v>28</v>
      </c>
      <c r="C20" s="78">
        <f>'Reliquidación 7TRAN'!O21</f>
        <v>0</v>
      </c>
      <c r="D20" s="77"/>
      <c r="E20" s="80" t="s">
        <v>35</v>
      </c>
      <c r="F20" s="78">
        <v>0</v>
      </c>
      <c r="G20" s="78">
        <f t="shared" si="0"/>
        <v>-42699826.827466458</v>
      </c>
      <c r="H20" s="79"/>
      <c r="I20" s="40"/>
      <c r="J20" s="40"/>
    </row>
    <row r="21" spans="1:10" x14ac:dyDescent="0.3">
      <c r="B21" s="80" t="s">
        <v>29</v>
      </c>
      <c r="C21" s="78">
        <f>'Reliquidación 7TRAN'!O22</f>
        <v>-6871500.1473459601</v>
      </c>
      <c r="D21" s="77"/>
      <c r="E21" s="80" t="s">
        <v>36</v>
      </c>
      <c r="F21" s="78">
        <v>0</v>
      </c>
      <c r="G21" s="78">
        <f t="shared" si="0"/>
        <v>-9739976.4340640195</v>
      </c>
      <c r="H21" s="79"/>
      <c r="I21" s="40"/>
      <c r="J21" s="40"/>
    </row>
    <row r="22" spans="1:10" x14ac:dyDescent="0.3">
      <c r="B22" s="80" t="s">
        <v>30</v>
      </c>
      <c r="C22" s="78">
        <f>'Reliquidación 7TRAN'!O23</f>
        <v>-13036245.0986154</v>
      </c>
      <c r="D22" s="77"/>
      <c r="E22" s="80" t="s">
        <v>37</v>
      </c>
      <c r="F22" s="78">
        <v>0</v>
      </c>
      <c r="G22" s="78">
        <f t="shared" si="0"/>
        <v>-92524026.867027134</v>
      </c>
      <c r="H22" s="79"/>
      <c r="I22" s="40"/>
      <c r="J22" s="40"/>
    </row>
    <row r="23" spans="1:10" x14ac:dyDescent="0.3">
      <c r="B23" s="80" t="s">
        <v>31</v>
      </c>
      <c r="C23" s="78">
        <f>'Reliquidación 7TRAN'!O24</f>
        <v>-10476790.431174258</v>
      </c>
      <c r="D23" s="77"/>
      <c r="E23" s="80" t="s">
        <v>38</v>
      </c>
      <c r="F23" s="78">
        <v>0</v>
      </c>
      <c r="G23" s="78">
        <f t="shared" si="0"/>
        <v>-2910808.5924462858</v>
      </c>
      <c r="H23" s="79"/>
      <c r="I23" s="40"/>
      <c r="J23" s="40"/>
    </row>
    <row r="24" spans="1:10" x14ac:dyDescent="0.3">
      <c r="B24" s="80" t="s">
        <v>32</v>
      </c>
      <c r="C24" s="78">
        <f>'Reliquidación 7TRAN'!O25</f>
        <v>-2813616.9399893014</v>
      </c>
      <c r="D24" s="77"/>
      <c r="E24" s="80" t="s">
        <v>39</v>
      </c>
      <c r="F24" s="78">
        <v>0</v>
      </c>
      <c r="G24" s="78">
        <f t="shared" si="0"/>
        <v>117622216.27067479</v>
      </c>
      <c r="H24" s="79"/>
      <c r="I24" s="40"/>
      <c r="J24" s="40"/>
    </row>
    <row r="25" spans="1:10" x14ac:dyDescent="0.3">
      <c r="B25" s="80" t="s">
        <v>33</v>
      </c>
      <c r="C25" s="78">
        <f>'Reliquidación 7TRAN'!O26</f>
        <v>-2676986.7157191667</v>
      </c>
      <c r="D25" s="77"/>
      <c r="E25" s="80" t="s">
        <v>40</v>
      </c>
      <c r="F25" s="78">
        <v>0</v>
      </c>
      <c r="G25" s="78">
        <f t="shared" si="0"/>
        <v>-2902472.7672848324</v>
      </c>
      <c r="H25" s="79"/>
      <c r="I25" s="40"/>
      <c r="J25" s="40"/>
    </row>
    <row r="26" spans="1:10" x14ac:dyDescent="0.3">
      <c r="B26" s="80" t="s">
        <v>34</v>
      </c>
      <c r="C26" s="78">
        <f>'Reliquidación 7TRAN'!O27</f>
        <v>-5245790.2483278364</v>
      </c>
      <c r="D26" s="77"/>
      <c r="E26" s="80" t="s">
        <v>41</v>
      </c>
      <c r="F26" s="78">
        <v>0</v>
      </c>
      <c r="G26" s="78">
        <f t="shared" si="0"/>
        <v>-7788805.5351663651</v>
      </c>
      <c r="H26" s="79"/>
      <c r="I26" s="40"/>
      <c r="J26" s="40"/>
    </row>
    <row r="27" spans="1:10" x14ac:dyDescent="0.3">
      <c r="B27" s="80" t="s">
        <v>35</v>
      </c>
      <c r="C27" s="78">
        <f>'Reliquidación 7TRAN'!O28</f>
        <v>-42699826.827466458</v>
      </c>
      <c r="D27" s="77"/>
      <c r="E27" s="80" t="s">
        <v>42</v>
      </c>
      <c r="F27" s="78">
        <v>0</v>
      </c>
      <c r="G27" s="78">
        <f t="shared" si="0"/>
        <v>-5727532.0934532294</v>
      </c>
      <c r="H27" s="79"/>
      <c r="I27" s="40"/>
      <c r="J27" s="40"/>
    </row>
    <row r="28" spans="1:10" x14ac:dyDescent="0.3">
      <c r="B28" s="80" t="s">
        <v>36</v>
      </c>
      <c r="C28" s="78">
        <f>'Reliquidación 7TRAN'!O29</f>
        <v>-9739976.4340640195</v>
      </c>
      <c r="D28" s="77"/>
      <c r="E28" s="80" t="s">
        <v>43</v>
      </c>
      <c r="F28" s="78">
        <v>0</v>
      </c>
      <c r="G28" s="78">
        <f t="shared" si="0"/>
        <v>-5295846.9260569671</v>
      </c>
      <c r="H28" s="79"/>
      <c r="I28" s="40"/>
      <c r="J28" s="40"/>
    </row>
    <row r="29" spans="1:10" x14ac:dyDescent="0.3">
      <c r="A29" s="40"/>
      <c r="B29" s="80" t="s">
        <v>37</v>
      </c>
      <c r="C29" s="78">
        <f>'Reliquidación 7TRAN'!O30</f>
        <v>-92524026.867027134</v>
      </c>
      <c r="D29" s="77"/>
      <c r="E29" s="80" t="s">
        <v>45</v>
      </c>
      <c r="F29" s="78">
        <v>0</v>
      </c>
      <c r="G29" s="78">
        <f t="shared" si="0"/>
        <v>-948206.38249673147</v>
      </c>
      <c r="H29" s="79"/>
      <c r="I29" s="40"/>
      <c r="J29" s="40"/>
    </row>
    <row r="30" spans="1:10" x14ac:dyDescent="0.3">
      <c r="B30" s="80" t="s">
        <v>38</v>
      </c>
      <c r="C30" s="78">
        <f>'Reliquidación 7TRAN'!O31</f>
        <v>-2910808.5924462858</v>
      </c>
      <c r="D30" s="77"/>
      <c r="E30" s="80" t="s">
        <v>49</v>
      </c>
      <c r="F30" s="78">
        <v>0</v>
      </c>
      <c r="G30" s="78">
        <f t="shared" si="0"/>
        <v>0</v>
      </c>
      <c r="H30" s="79"/>
      <c r="I30" s="40"/>
      <c r="J30" s="40"/>
    </row>
    <row r="31" spans="1:10" x14ac:dyDescent="0.3">
      <c r="A31" s="40"/>
      <c r="B31" s="80" t="s">
        <v>39</v>
      </c>
      <c r="C31" s="78">
        <f>'Reliquidación 7TRAN'!O32</f>
        <v>117622216.27067479</v>
      </c>
      <c r="D31" s="77"/>
      <c r="E31" s="32" t="s">
        <v>50</v>
      </c>
      <c r="F31" s="78">
        <v>0</v>
      </c>
      <c r="G31" s="78">
        <f t="shared" si="0"/>
        <v>-15080.125663861872</v>
      </c>
      <c r="H31" s="79"/>
      <c r="I31" s="40"/>
      <c r="J31" s="40"/>
    </row>
    <row r="32" spans="1:10" x14ac:dyDescent="0.3">
      <c r="A32" s="40"/>
      <c r="B32" s="80" t="s">
        <v>40</v>
      </c>
      <c r="C32" s="78">
        <f>'Reliquidación 7TRAN'!O33</f>
        <v>-2902472.7672848324</v>
      </c>
      <c r="D32" s="77"/>
      <c r="E32" s="81" t="s">
        <v>51</v>
      </c>
      <c r="F32" s="78">
        <v>0</v>
      </c>
      <c r="G32" s="78">
        <f t="shared" si="0"/>
        <v>2555848.662296616</v>
      </c>
      <c r="H32" s="77"/>
      <c r="I32" s="40"/>
      <c r="J32" s="40"/>
    </row>
    <row r="33" spans="1:15" x14ac:dyDescent="0.3">
      <c r="A33" s="40"/>
      <c r="B33" s="80" t="s">
        <v>41</v>
      </c>
      <c r="C33" s="78">
        <f>'Reliquidación 7TRAN'!O34</f>
        <v>-7788805.5351663651</v>
      </c>
      <c r="D33" s="77"/>
      <c r="E33" s="82" t="s">
        <v>66</v>
      </c>
      <c r="F33" s="83">
        <f>SUM(F7:F32)</f>
        <v>0</v>
      </c>
      <c r="G33" s="83">
        <f>SUM(G8:G32)</f>
        <v>-1.7881393432617188E-7</v>
      </c>
      <c r="H33" s="84"/>
      <c r="I33" s="40"/>
      <c r="J33" s="40"/>
    </row>
    <row r="34" spans="1:15" x14ac:dyDescent="0.3">
      <c r="B34" s="80" t="s">
        <v>42</v>
      </c>
      <c r="C34" s="78">
        <f>'Reliquidación 7TRAN'!O35</f>
        <v>-5727532.0934532294</v>
      </c>
      <c r="D34" s="77"/>
      <c r="E34" s="77"/>
      <c r="F34" s="85"/>
      <c r="G34" s="86"/>
      <c r="H34" s="84"/>
      <c r="I34" s="40"/>
      <c r="J34" s="40"/>
    </row>
    <row r="35" spans="1:15" x14ac:dyDescent="0.3">
      <c r="A35" s="40"/>
      <c r="B35" s="80" t="s">
        <v>43</v>
      </c>
      <c r="C35" s="78">
        <f>'Reliquidación 7TRAN'!O36</f>
        <v>-5295846.9260569671</v>
      </c>
      <c r="D35" s="77"/>
      <c r="E35" s="77"/>
      <c r="F35" s="55"/>
      <c r="G35" s="86"/>
      <c r="H35" s="84"/>
      <c r="I35" s="40"/>
      <c r="J35" s="40"/>
    </row>
    <row r="36" spans="1:15" x14ac:dyDescent="0.3">
      <c r="A36" s="40"/>
      <c r="B36" s="80" t="s">
        <v>45</v>
      </c>
      <c r="C36" s="78">
        <f>'Reliquidación 7TRAN'!O37</f>
        <v>-948206.38249673147</v>
      </c>
      <c r="D36" s="77"/>
      <c r="E36" s="77"/>
      <c r="F36" s="85"/>
      <c r="G36" s="86"/>
      <c r="H36" s="84"/>
      <c r="I36" s="40"/>
      <c r="J36" s="40"/>
    </row>
    <row r="37" spans="1:15" x14ac:dyDescent="0.3">
      <c r="B37" s="80" t="s">
        <v>46</v>
      </c>
      <c r="C37" s="78">
        <f>'Reliquidación 7TRAN'!O38</f>
        <v>-15355748.187431436</v>
      </c>
      <c r="D37" s="77"/>
      <c r="E37" s="77"/>
      <c r="F37" s="85"/>
      <c r="G37" s="86"/>
      <c r="H37" s="84"/>
      <c r="I37" s="40"/>
      <c r="J37" s="40"/>
    </row>
    <row r="38" spans="1:15" x14ac:dyDescent="0.3">
      <c r="B38" s="80" t="s">
        <v>47</v>
      </c>
      <c r="C38" s="78">
        <f>'Reliquidación 7TRAN'!O39</f>
        <v>-21891938.018402126</v>
      </c>
      <c r="D38" s="77"/>
      <c r="E38" s="77"/>
      <c r="F38" s="85"/>
      <c r="G38" s="86"/>
      <c r="H38" s="84"/>
      <c r="I38" s="40"/>
      <c r="J38" s="40"/>
    </row>
    <row r="39" spans="1:15" x14ac:dyDescent="0.3">
      <c r="B39" s="80" t="s">
        <v>48</v>
      </c>
      <c r="C39" s="78">
        <f>'Reliquidación 7TRAN'!O40</f>
        <v>106725868.7378682</v>
      </c>
      <c r="D39" s="77"/>
      <c r="E39" s="77"/>
      <c r="F39" s="85"/>
      <c r="G39" s="86"/>
      <c r="H39" s="84"/>
      <c r="I39" s="40"/>
      <c r="J39" s="40"/>
    </row>
    <row r="40" spans="1:15" x14ac:dyDescent="0.3">
      <c r="B40" s="80" t="s">
        <v>49</v>
      </c>
      <c r="C40" s="78">
        <f>'Reliquidación 7TRAN'!O41</f>
        <v>0</v>
      </c>
      <c r="D40" s="77"/>
      <c r="E40" s="77"/>
      <c r="F40" s="85"/>
      <c r="G40" s="86"/>
      <c r="H40" s="84"/>
      <c r="I40" s="40"/>
      <c r="J40" s="40"/>
    </row>
    <row r="41" spans="1:15" x14ac:dyDescent="0.3">
      <c r="B41" s="32" t="s">
        <v>50</v>
      </c>
      <c r="C41" s="78">
        <f>'Reliquidación 7TRAN'!O42</f>
        <v>-15080.125663861872</v>
      </c>
      <c r="D41" s="77"/>
      <c r="E41" s="77"/>
      <c r="F41" s="85"/>
      <c r="G41" s="86"/>
      <c r="H41" s="84"/>
      <c r="I41" s="40"/>
      <c r="J41" s="40"/>
    </row>
    <row r="42" spans="1:15" x14ac:dyDescent="0.3">
      <c r="B42" s="81" t="s">
        <v>51</v>
      </c>
      <c r="C42" s="87">
        <f>'Reliquidación 7TRAN'!O43</f>
        <v>2555848.662296616</v>
      </c>
      <c r="D42" s="77"/>
      <c r="E42" s="77"/>
      <c r="F42" s="85"/>
      <c r="G42" s="86"/>
      <c r="H42" s="84"/>
      <c r="I42" s="40"/>
      <c r="J42" s="40"/>
    </row>
    <row r="43" spans="1:15" x14ac:dyDescent="0.3">
      <c r="B43" s="82" t="s">
        <v>66</v>
      </c>
      <c r="C43" s="83">
        <f>SUM(C8:C42)</f>
        <v>-1.5646219253540039E-7</v>
      </c>
      <c r="D43" s="88"/>
      <c r="E43" s="88"/>
      <c r="F43" s="40"/>
      <c r="H43" s="84"/>
      <c r="I43" s="40"/>
      <c r="J43" s="40"/>
    </row>
    <row r="44" spans="1:15" x14ac:dyDescent="0.3">
      <c r="B44" s="85"/>
      <c r="C44" s="89"/>
      <c r="F44" s="40"/>
      <c r="H44" s="40"/>
      <c r="I44" s="40"/>
    </row>
    <row r="45" spans="1:15" x14ac:dyDescent="0.3">
      <c r="B45" s="85"/>
      <c r="C45" s="89"/>
      <c r="D45" s="89"/>
      <c r="E45" s="89"/>
      <c r="H45" s="40"/>
    </row>
    <row r="46" spans="1:15" x14ac:dyDescent="0.3">
      <c r="B46" s="40"/>
      <c r="C46" s="40"/>
      <c r="D46" s="40"/>
      <c r="E46" s="40"/>
      <c r="F46" s="86"/>
      <c r="G46" s="40"/>
      <c r="H46" s="40"/>
      <c r="I46" s="40"/>
      <c r="J46" s="40"/>
    </row>
    <row r="47" spans="1:15" x14ac:dyDescent="0.3">
      <c r="B47" s="90" t="s">
        <v>84</v>
      </c>
      <c r="C47" s="40"/>
      <c r="D47" s="40"/>
      <c r="E47" s="40"/>
      <c r="F47" s="40"/>
      <c r="G47" s="40"/>
      <c r="H47" s="40"/>
      <c r="I47" s="40"/>
      <c r="J47" s="40"/>
      <c r="L47" s="40"/>
      <c r="M47" s="40"/>
      <c r="N47" s="40"/>
      <c r="O47" s="40"/>
    </row>
    <row r="48" spans="1:15" x14ac:dyDescent="0.3">
      <c r="B48" s="40"/>
      <c r="C48" s="40"/>
      <c r="D48" s="40"/>
      <c r="E48" s="40"/>
      <c r="F48" s="86"/>
      <c r="G48" s="40"/>
      <c r="H48" s="40"/>
      <c r="I48" s="40"/>
      <c r="J48" s="40"/>
      <c r="K48" s="40"/>
    </row>
    <row r="49" spans="2:6" x14ac:dyDescent="0.3">
      <c r="B49" s="118" t="s">
        <v>85</v>
      </c>
      <c r="C49" s="120" t="s">
        <v>86</v>
      </c>
      <c r="D49" s="121"/>
      <c r="E49" s="127"/>
      <c r="F49" s="97" t="s">
        <v>52</v>
      </c>
    </row>
    <row r="50" spans="2:6" x14ac:dyDescent="0.3">
      <c r="B50" s="119"/>
      <c r="C50" s="38" t="s">
        <v>82</v>
      </c>
      <c r="D50" s="39" t="s">
        <v>39</v>
      </c>
      <c r="E50" s="98" t="s">
        <v>51</v>
      </c>
      <c r="F50" s="99"/>
    </row>
    <row r="51" spans="2:6" ht="12" customHeight="1" x14ac:dyDescent="0.3">
      <c r="B51" s="61" t="s">
        <v>14</v>
      </c>
      <c r="C51" s="92" cm="1">
        <f t="array" ref="C51">(VLOOKUP($B51,$E$8:$G$32,3,0)*(-(VLOOKUP(C$50,$E$8:$G$32,3,0))))/SUMPRODUCT(($G$8:$G$32&gt;0)*($G$8:$G$32))</f>
        <v>3982249.759178055</v>
      </c>
      <c r="D51" s="92" cm="1">
        <f t="array" ref="D51">(VLOOKUP($B51,$E$8:$G$32,3,0)*(-(VLOOKUP(D$50,$E$8:$G$32,3,0))))/SUMPRODUCT(($G$8:$G$32&gt;0)*($G$8:$G$32))</f>
        <v>791749.29131220072</v>
      </c>
      <c r="E51" s="92" cm="1">
        <f t="array" ref="E51">(VLOOKUP($B51,$E$8:$G$32,3,0)*(-(VLOOKUP(E$50,$E$8:$G$32,3,0))))/SUMPRODUCT(($G$8:$G$32&gt;0)*($G$8:$G$32))</f>
        <v>17204.159479684091</v>
      </c>
      <c r="F51" s="93">
        <f t="shared" ref="F51:F72" si="1">SUM(C51:E51)</f>
        <v>4791203.2099699397</v>
      </c>
    </row>
    <row r="52" spans="2:6" x14ac:dyDescent="0.3">
      <c r="B52" s="64" t="s">
        <v>15</v>
      </c>
      <c r="C52" s="92" cm="1">
        <f t="array" ref="C52">(VLOOKUP($B52,$E$8:$G$32,3,0)*(-(VLOOKUP(C$50,$E$8:$G$32,3,0))))/SUMPRODUCT(($G$8:$G$32&gt;0)*($G$8:$G$32))</f>
        <v>2600828.4950247901</v>
      </c>
      <c r="D52" s="92" cm="1">
        <f t="array" ref="D52">(VLOOKUP($B52,$E$8:$G$32,3,0)*(-(VLOOKUP(D$50,$E$8:$G$32,3,0))))/SUMPRODUCT(($G$8:$G$32&gt;0)*($G$8:$G$32))</f>
        <v>517095.67261935858</v>
      </c>
      <c r="E52" s="92" cm="1">
        <f t="array" ref="E52">(VLOOKUP($B52,$E$8:$G$32,3,0)*(-(VLOOKUP(E$50,$E$8:$G$32,3,0))))/SUMPRODUCT(($G$8:$G$32&gt;0)*($G$8:$G$32))</f>
        <v>11236.128046611704</v>
      </c>
      <c r="F52" s="93">
        <f t="shared" si="1"/>
        <v>3129160.2956907605</v>
      </c>
    </row>
    <row r="53" spans="2:6" x14ac:dyDescent="0.3">
      <c r="B53" s="61" t="s">
        <v>16</v>
      </c>
      <c r="C53" s="92" cm="1">
        <f t="array" ref="C53">(VLOOKUP($B53,$E$8:$G$32,3,0)*(-(VLOOKUP(C$50,$E$8:$G$32,3,0))))/SUMPRODUCT(($G$8:$G$32&gt;0)*($G$8:$G$32))</f>
        <v>5709396.2208183706</v>
      </c>
      <c r="D53" s="92" cm="1">
        <f t="array" ref="D53">(VLOOKUP($B53,$E$8:$G$32,3,0)*(-(VLOOKUP(D$50,$E$8:$G$32,3,0))))/SUMPRODUCT(($G$8:$G$32&gt;0)*($G$8:$G$32))</f>
        <v>1135139.8543587395</v>
      </c>
      <c r="E53" s="92" cm="1">
        <f t="array" ref="E53">(VLOOKUP($B53,$E$8:$G$32,3,0)*(-(VLOOKUP(E$50,$E$8:$G$32,3,0))))/SUMPRODUCT(($G$8:$G$32&gt;0)*($G$8:$G$32))</f>
        <v>24665.79673695274</v>
      </c>
      <c r="F53" s="93">
        <f t="shared" si="1"/>
        <v>6869201.8719140626</v>
      </c>
    </row>
    <row r="54" spans="2:6" x14ac:dyDescent="0.3">
      <c r="B54" s="61" t="s">
        <v>17</v>
      </c>
      <c r="C54" s="92" cm="1">
        <f t="array" ref="C54">(VLOOKUP($B54,$E$8:$G$32,3,0)*(-(VLOOKUP(C$50,$E$8:$G$32,3,0))))/SUMPRODUCT(($G$8:$G$32&gt;0)*($G$8:$G$32))</f>
        <v>1268266.2655420362</v>
      </c>
      <c r="D54" s="92" cm="1">
        <f t="array" ref="D54">(VLOOKUP($B54,$E$8:$G$32,3,0)*(-(VLOOKUP(D$50,$E$8:$G$32,3,0))))/SUMPRODUCT(($G$8:$G$32&gt;0)*($G$8:$G$32))</f>
        <v>252156.1874977267</v>
      </c>
      <c r="E54" s="92" cm="1">
        <f t="array" ref="E54">(VLOOKUP($B54,$E$8:$G$32,3,0)*(-(VLOOKUP(E$50,$E$8:$G$32,3,0))))/SUMPRODUCT(($G$8:$G$32&gt;0)*($G$8:$G$32))</f>
        <v>5479.1779558276994</v>
      </c>
      <c r="F54" s="93">
        <f t="shared" si="1"/>
        <v>1525901.6309955905</v>
      </c>
    </row>
    <row r="55" spans="2:6" x14ac:dyDescent="0.3">
      <c r="B55" s="61" t="s">
        <v>83</v>
      </c>
      <c r="C55" s="92" cm="1">
        <f t="array" ref="C55">(VLOOKUP($B55,$E$8:$G$32,3,0)*(-(VLOOKUP(C$50,$E$8:$G$32,3,0))))/SUMPRODUCT(($G$8:$G$32&gt;0)*($G$8:$G$32))</f>
        <v>402107729.21038455</v>
      </c>
      <c r="D55" s="92" cm="1">
        <f t="array" ref="D55">(VLOOKUP($B55,$E$8:$G$32,3,0)*(-(VLOOKUP(D$50,$E$8:$G$32,3,0))))/SUMPRODUCT(($G$8:$G$32&gt;0)*($G$8:$G$32))</f>
        <v>79946896.575164139</v>
      </c>
      <c r="E55" s="92" cm="1">
        <f t="array" ref="E55">(VLOOKUP($B55,$E$8:$G$32,3,0)*(-(VLOOKUP(E$50,$E$8:$G$32,3,0))))/SUMPRODUCT(($G$8:$G$32&gt;0)*($G$8:$G$32))</f>
        <v>1737190.2617120014</v>
      </c>
      <c r="F55" s="93">
        <f t="shared" si="1"/>
        <v>483791816.0472607</v>
      </c>
    </row>
    <row r="56" spans="2:6" x14ac:dyDescent="0.3">
      <c r="B56" s="61" t="s">
        <v>29</v>
      </c>
      <c r="C56" s="92" cm="1">
        <f t="array" ref="C56">(VLOOKUP($B56,$E$8:$G$32,3,0)*(-(VLOOKUP(C$50,$E$8:$G$32,3,0))))/SUMPRODUCT(($G$8:$G$32&gt;0)*($G$8:$G$32))</f>
        <v>5711306.4522120524</v>
      </c>
      <c r="D56" s="92" cm="1">
        <f t="array" ref="D56">(VLOOKUP($B56,$E$8:$G$32,3,0)*(-(VLOOKUP(D$50,$E$8:$G$32,3,0))))/SUMPRODUCT(($G$8:$G$32&gt;0)*($G$8:$G$32))</f>
        <v>1135519.6457941472</v>
      </c>
      <c r="E56" s="92" cm="1">
        <f t="array" ref="E56">(VLOOKUP($B56,$E$8:$G$32,3,0)*(-(VLOOKUP(E$50,$E$8:$G$32,3,0))))/SUMPRODUCT(($G$8:$G$32&gt;0)*($G$8:$G$32))</f>
        <v>24674.049339759546</v>
      </c>
      <c r="F56" s="93">
        <f t="shared" si="1"/>
        <v>6871500.1473459592</v>
      </c>
    </row>
    <row r="57" spans="2:6" x14ac:dyDescent="0.3">
      <c r="B57" s="61" t="s">
        <v>30</v>
      </c>
      <c r="C57" s="92" cm="1">
        <f t="array" ref="C57">(VLOOKUP($B57,$E$8:$G$32,3,0)*(-(VLOOKUP(C$50,$E$8:$G$32,3,0))))/SUMPRODUCT(($G$8:$G$32&gt;0)*($G$8:$G$32))</f>
        <v>10835187.244097915</v>
      </c>
      <c r="D57" s="92" cm="1">
        <f t="array" ref="D57">(VLOOKUP($B57,$E$8:$G$32,3,0)*(-(VLOOKUP(D$50,$E$8:$G$32,3,0))))/SUMPRODUCT(($G$8:$G$32&gt;0)*($G$8:$G$32))</f>
        <v>2154247.5586765292</v>
      </c>
      <c r="E57" s="92" cm="1">
        <f t="array" ref="E57">(VLOOKUP($B57,$E$8:$G$32,3,0)*(-(VLOOKUP(E$50,$E$8:$G$32,3,0))))/SUMPRODUCT(($G$8:$G$32&gt;0)*($G$8:$G$32))</f>
        <v>46810.295840955681</v>
      </c>
      <c r="F57" s="93">
        <f t="shared" si="1"/>
        <v>13036245.0986154</v>
      </c>
    </row>
    <row r="58" spans="2:6" x14ac:dyDescent="0.3">
      <c r="B58" s="61" t="s">
        <v>31</v>
      </c>
      <c r="C58" s="92" cm="1">
        <f t="array" ref="C58">(VLOOKUP($B58,$E$8:$G$32,3,0)*(-(VLOOKUP(C$50,$E$8:$G$32,3,0))))/SUMPRODUCT(($G$8:$G$32&gt;0)*($G$8:$G$32))</f>
        <v>8707874.4822773635</v>
      </c>
      <c r="D58" s="92" cm="1">
        <f t="array" ref="D58">(VLOOKUP($B58,$E$8:$G$32,3,0)*(-(VLOOKUP(D$50,$E$8:$G$32,3,0))))/SUMPRODUCT(($G$8:$G$32&gt;0)*($G$8:$G$32))</f>
        <v>1731296.0931917364</v>
      </c>
      <c r="E58" s="92" cm="1">
        <f t="array" ref="E58">(VLOOKUP($B58,$E$8:$G$32,3,0)*(-(VLOOKUP(E$50,$E$8:$G$32,3,0))))/SUMPRODUCT(($G$8:$G$32&gt;0)*($G$8:$G$32))</f>
        <v>37619.855705156166</v>
      </c>
      <c r="F58" s="93">
        <f t="shared" si="1"/>
        <v>10476790.431174256</v>
      </c>
    </row>
    <row r="59" spans="2:6" x14ac:dyDescent="0.3">
      <c r="B59" s="61" t="s">
        <v>32</v>
      </c>
      <c r="C59" s="92" cm="1">
        <f t="array" ref="C59">(VLOOKUP($B59,$E$8:$G$32,3,0)*(-(VLOOKUP(C$50,$E$8:$G$32,3,0))))/SUMPRODUCT(($G$8:$G$32&gt;0)*($G$8:$G$32))</f>
        <v>2338561.9208086119</v>
      </c>
      <c r="D59" s="92" cm="1">
        <f t="array" ref="D59">(VLOOKUP($B59,$E$8:$G$32,3,0)*(-(VLOOKUP(D$50,$E$8:$G$32,3,0))))/SUMPRODUCT(($G$8:$G$32&gt;0)*($G$8:$G$32))</f>
        <v>464951.93809041305</v>
      </c>
      <c r="E59" s="92" cm="1">
        <f t="array" ref="E59">(VLOOKUP($B59,$E$8:$G$32,3,0)*(-(VLOOKUP(E$50,$E$8:$G$32,3,0))))/SUMPRODUCT(($G$8:$G$32&gt;0)*($G$8:$G$32))</f>
        <v>10103.081090275939</v>
      </c>
      <c r="F59" s="93">
        <f t="shared" si="1"/>
        <v>2813616.9399893009</v>
      </c>
    </row>
    <row r="60" spans="2:6" x14ac:dyDescent="0.3">
      <c r="B60" s="61" t="s">
        <v>33</v>
      </c>
      <c r="C60" s="92" cm="1">
        <f t="array" ref="C60">(VLOOKUP($B60,$E$8:$G$32,3,0)*(-(VLOOKUP(C$50,$E$8:$G$32,3,0))))/SUMPRODUCT(($G$8:$G$32&gt;0)*($G$8:$G$32))</f>
        <v>2225000.5346908229</v>
      </c>
      <c r="D60" s="92" cm="1">
        <f t="array" ref="D60">(VLOOKUP($B60,$E$8:$G$32,3,0)*(-(VLOOKUP(D$50,$E$8:$G$32,3,0))))/SUMPRODUCT(($G$8:$G$32&gt;0)*($G$8:$G$32))</f>
        <v>442373.70909511554</v>
      </c>
      <c r="E60" s="92" cm="1">
        <f t="array" ref="E60">(VLOOKUP($B60,$E$8:$G$32,3,0)*(-(VLOOKUP(E$50,$E$8:$G$32,3,0))))/SUMPRODUCT(($G$8:$G$32&gt;0)*($G$8:$G$32))</f>
        <v>9612.4719332280692</v>
      </c>
      <c r="F60" s="93">
        <f t="shared" si="1"/>
        <v>2676986.7157191662</v>
      </c>
    </row>
    <row r="61" spans="2:6" x14ac:dyDescent="0.3">
      <c r="B61" s="61" t="s">
        <v>34</v>
      </c>
      <c r="C61" s="92" cm="1">
        <f t="array" ref="C61">(VLOOKUP($B61,$E$8:$G$32,3,0)*(-(VLOOKUP(C$50,$E$8:$G$32,3,0))))/SUMPRODUCT(($G$8:$G$32&gt;0)*($G$8:$G$32))</f>
        <v>4360083.6862089969</v>
      </c>
      <c r="D61" s="92" cm="1">
        <f t="array" ref="D61">(VLOOKUP($B61,$E$8:$G$32,3,0)*(-(VLOOKUP(D$50,$E$8:$G$32,3,0))))/SUMPRODUCT(($G$8:$G$32&gt;0)*($G$8:$G$32))</f>
        <v>866870.08032624773</v>
      </c>
      <c r="E61" s="92" cm="1">
        <f t="array" ref="E61">(VLOOKUP($B61,$E$8:$G$32,3,0)*(-(VLOOKUP(E$50,$E$8:$G$32,3,0))))/SUMPRODUCT(($G$8:$G$32&gt;0)*($G$8:$G$32))</f>
        <v>18836.481792591287</v>
      </c>
      <c r="F61" s="93">
        <f t="shared" si="1"/>
        <v>5245790.2483278364</v>
      </c>
    </row>
    <row r="62" spans="2:6" x14ac:dyDescent="0.3">
      <c r="B62" s="61" t="s">
        <v>35</v>
      </c>
      <c r="C62" s="92" cm="1">
        <f t="array" ref="C62">(VLOOKUP($B62,$E$8:$G$32,3,0)*(-(VLOOKUP(C$50,$E$8:$G$32,3,0))))/SUMPRODUCT(($G$8:$G$32&gt;0)*($G$8:$G$32))</f>
        <v>35490328.347331733</v>
      </c>
      <c r="D62" s="92" cm="1">
        <f t="array" ref="D62">(VLOOKUP($B62,$E$8:$G$32,3,0)*(-(VLOOKUP(D$50,$E$8:$G$32,3,0))))/SUMPRODUCT(($G$8:$G$32&gt;0)*($G$8:$G$32))</f>
        <v>7056172.7708502617</v>
      </c>
      <c r="E62" s="92" cm="1">
        <f t="array" ref="E62">(VLOOKUP($B62,$E$8:$G$32,3,0)*(-(VLOOKUP(E$50,$E$8:$G$32,3,0))))/SUMPRODUCT(($G$8:$G$32&gt;0)*($G$8:$G$32))</f>
        <v>153325.70928446073</v>
      </c>
      <c r="F62" s="93">
        <f t="shared" si="1"/>
        <v>42699826.827466458</v>
      </c>
    </row>
    <row r="63" spans="2:6" x14ac:dyDescent="0.3">
      <c r="B63" s="61" t="s">
        <v>36</v>
      </c>
      <c r="C63" s="92" cm="1">
        <f t="array" ref="C63">(VLOOKUP($B63,$E$8:$G$32,3,0)*(-(VLOOKUP(C$50,$E$8:$G$32,3,0))))/SUMPRODUCT(($G$8:$G$32&gt;0)*($G$8:$G$32))</f>
        <v>8095465.1909232456</v>
      </c>
      <c r="D63" s="92" cm="1">
        <f t="array" ref="D63">(VLOOKUP($B63,$E$8:$G$32,3,0)*(-(VLOOKUP(D$50,$E$8:$G$32,3,0))))/SUMPRODUCT(($G$8:$G$32&gt;0)*($G$8:$G$32))</f>
        <v>1609537.1248334311</v>
      </c>
      <c r="E63" s="92" cm="1">
        <f t="array" ref="E63">(VLOOKUP($B63,$E$8:$G$32,3,0)*(-(VLOOKUP(E$50,$E$8:$G$32,3,0))))/SUMPRODUCT(($G$8:$G$32&gt;0)*($G$8:$G$32))</f>
        <v>34974.118307341312</v>
      </c>
      <c r="F63" s="93">
        <f t="shared" si="1"/>
        <v>9739976.4340640176</v>
      </c>
    </row>
    <row r="64" spans="2:6" x14ac:dyDescent="0.3">
      <c r="B64" s="61" t="s">
        <v>37</v>
      </c>
      <c r="C64" s="92" cm="1">
        <f t="array" ref="C64">(VLOOKUP($B64,$E$8:$G$32,3,0)*(-(VLOOKUP(C$50,$E$8:$G$32,3,0))))/SUMPRODUCT(($G$8:$G$32&gt;0)*($G$8:$G$32))</f>
        <v>76902140.769711658</v>
      </c>
      <c r="D64" s="92" cm="1">
        <f t="array" ref="D64">(VLOOKUP($B64,$E$8:$G$32,3,0)*(-(VLOOKUP(D$50,$E$8:$G$32,3,0))))/SUMPRODUCT(($G$8:$G$32&gt;0)*($G$8:$G$32))</f>
        <v>15289652.617714655</v>
      </c>
      <c r="E64" s="92" cm="1">
        <f t="array" ref="E64">(VLOOKUP($B64,$E$8:$G$32,3,0)*(-(VLOOKUP(E$50,$E$8:$G$32,3,0))))/SUMPRODUCT(($G$8:$G$32&gt;0)*($G$8:$G$32))</f>
        <v>332233.47960081563</v>
      </c>
      <c r="F64" s="93">
        <f t="shared" si="1"/>
        <v>92524026.867027134</v>
      </c>
    </row>
    <row r="65" spans="2:11" x14ac:dyDescent="0.3">
      <c r="B65" s="61" t="s">
        <v>38</v>
      </c>
      <c r="C65" s="92" cm="1">
        <f t="array" ref="C65">(VLOOKUP($B65,$E$8:$G$32,3,0)*(-(VLOOKUP(C$50,$E$8:$G$32,3,0))))/SUMPRODUCT(($G$8:$G$32&gt;0)*($G$8:$G$32))</f>
        <v>2419343.5987356836</v>
      </c>
      <c r="D65" s="92" cm="1">
        <f t="array" ref="D65">(VLOOKUP($B65,$E$8:$G$32,3,0)*(-(VLOOKUP(D$50,$E$8:$G$32,3,0))))/SUMPRODUCT(($G$8:$G$32&gt;0)*($G$8:$G$32))</f>
        <v>481012.91872136446</v>
      </c>
      <c r="E65" s="92" cm="1">
        <f t="array" ref="E65">(VLOOKUP($B65,$E$8:$G$32,3,0)*(-(VLOOKUP(E$50,$E$8:$G$32,3,0))))/SUMPRODUCT(($G$8:$G$32&gt;0)*($G$8:$G$32))</f>
        <v>10452.074989237381</v>
      </c>
      <c r="F65" s="93">
        <f t="shared" si="1"/>
        <v>2910808.5924462853</v>
      </c>
    </row>
    <row r="66" spans="2:11" x14ac:dyDescent="0.3">
      <c r="B66" s="61" t="s">
        <v>40</v>
      </c>
      <c r="C66" s="92" cm="1">
        <f t="array" ref="C66">(VLOOKUP($B66,$E$8:$G$32,3,0)*(-(VLOOKUP(C$50,$E$8:$G$32,3,0))))/SUMPRODUCT(($G$8:$G$32&gt;0)*($G$8:$G$32))</f>
        <v>2412415.2059527035</v>
      </c>
      <c r="D66" s="92" cm="1">
        <f t="array" ref="D66">(VLOOKUP($B66,$E$8:$G$32,3,0)*(-(VLOOKUP(D$50,$E$8:$G$32,3,0))))/SUMPRODUCT(($G$8:$G$32&gt;0)*($G$8:$G$32))</f>
        <v>479635.41846206639</v>
      </c>
      <c r="E66" s="92" cm="1">
        <f t="array" ref="E66">(VLOOKUP($B66,$E$8:$G$32,3,0)*(-(VLOOKUP(E$50,$E$8:$G$32,3,0))))/SUMPRODUCT(($G$8:$G$32&gt;0)*($G$8:$G$32))</f>
        <v>10422.142870062393</v>
      </c>
      <c r="F66" s="93">
        <f t="shared" si="1"/>
        <v>2902472.7672848324</v>
      </c>
    </row>
    <row r="67" spans="2:11" x14ac:dyDescent="0.3">
      <c r="B67" s="61" t="s">
        <v>41</v>
      </c>
      <c r="C67" s="92" cm="1">
        <f t="array" ref="C67">(VLOOKUP($B67,$E$8:$G$32,3,0)*(-(VLOOKUP(C$50,$E$8:$G$32,3,0))))/SUMPRODUCT(($G$8:$G$32&gt;0)*($G$8:$G$32))</f>
        <v>6473732.7154394602</v>
      </c>
      <c r="D67" s="92" cm="1">
        <f t="array" ref="D67">(VLOOKUP($B67,$E$8:$G$32,3,0)*(-(VLOOKUP(D$50,$E$8:$G$32,3,0))))/SUMPRODUCT(($G$8:$G$32&gt;0)*($G$8:$G$32))</f>
        <v>1287104.9280072607</v>
      </c>
      <c r="E67" s="92" cm="1">
        <f t="array" ref="E67">(VLOOKUP($B67,$E$8:$G$32,3,0)*(-(VLOOKUP(E$50,$E$8:$G$32,3,0))))/SUMPRODUCT(($G$8:$G$32&gt;0)*($G$8:$G$32))</f>
        <v>27967.891719643645</v>
      </c>
      <c r="F67" s="93">
        <f t="shared" si="1"/>
        <v>7788805.5351663651</v>
      </c>
    </row>
    <row r="68" spans="2:11" x14ac:dyDescent="0.3">
      <c r="B68" s="61" t="s">
        <v>42</v>
      </c>
      <c r="C68" s="92" cm="1">
        <f t="array" ref="C68">(VLOOKUP($B68,$E$8:$G$32,3,0)*(-(VLOOKUP(C$50,$E$8:$G$32,3,0))))/SUMPRODUCT(($G$8:$G$32&gt;0)*($G$8:$G$32))</f>
        <v>4760487.5644549849</v>
      </c>
      <c r="D68" s="92" cm="1">
        <f t="array" ref="D68">(VLOOKUP($B68,$E$8:$G$32,3,0)*(-(VLOOKUP(D$50,$E$8:$G$32,3,0))))/SUMPRODUCT(($G$8:$G$32&gt;0)*($G$8:$G$32))</f>
        <v>946478.21793973353</v>
      </c>
      <c r="E68" s="92" cm="1">
        <f t="array" ref="E68">(VLOOKUP($B68,$E$8:$G$32,3,0)*(-(VLOOKUP(E$50,$E$8:$G$32,3,0))))/SUMPRODUCT(($G$8:$G$32&gt;0)*($G$8:$G$32))</f>
        <v>20566.311058511012</v>
      </c>
      <c r="F68" s="93">
        <f t="shared" si="1"/>
        <v>5727532.0934532294</v>
      </c>
    </row>
    <row r="69" spans="2:11" x14ac:dyDescent="0.3">
      <c r="B69" s="61" t="s">
        <v>43</v>
      </c>
      <c r="C69" s="92" cm="1">
        <f t="array" ref="C69">(VLOOKUP($B69,$E$8:$G$32,3,0)*(-(VLOOKUP(C$50,$E$8:$G$32,3,0))))/SUMPRODUCT(($G$8:$G$32&gt;0)*($G$8:$G$32))</f>
        <v>4401688.7244627038</v>
      </c>
      <c r="D69" s="92" cm="1">
        <f t="array" ref="D69">(VLOOKUP($B69,$E$8:$G$32,3,0)*(-(VLOOKUP(D$50,$E$8:$G$32,3,0))))/SUMPRODUCT(($G$8:$G$32&gt;0)*($G$8:$G$32))</f>
        <v>875141.97725497989</v>
      </c>
      <c r="E69" s="92" cm="1">
        <f t="array" ref="E69">(VLOOKUP($B69,$E$8:$G$32,3,0)*(-(VLOOKUP(E$50,$E$8:$G$32,3,0))))/SUMPRODUCT(($G$8:$G$32&gt;0)*($G$8:$G$32))</f>
        <v>19016.2243392825</v>
      </c>
      <c r="F69" s="93">
        <f t="shared" si="1"/>
        <v>5295846.9260569662</v>
      </c>
    </row>
    <row r="70" spans="2:11" x14ac:dyDescent="0.3">
      <c r="B70" s="61" t="s">
        <v>45</v>
      </c>
      <c r="C70" s="92" cm="1">
        <f t="array" ref="C70">(VLOOKUP($B70,$E$8:$G$32,3,0)*(-(VLOOKUP(C$50,$E$8:$G$32,3,0))))/SUMPRODUCT(($G$8:$G$32&gt;0)*($G$8:$G$32))</f>
        <v>788109.89074545924</v>
      </c>
      <c r="D70" s="92" cm="1">
        <f t="array" ref="D70">(VLOOKUP($B70,$E$8:$G$32,3,0)*(-(VLOOKUP(D$50,$E$8:$G$32,3,0))))/SUMPRODUCT(($G$8:$G$32&gt;0)*($G$8:$G$32))</f>
        <v>156691.69067955329</v>
      </c>
      <c r="E70" s="92" cm="1">
        <f t="array" ref="E70">(VLOOKUP($B70,$E$8:$G$32,3,0)*(-(VLOOKUP(E$50,$E$8:$G$32,3,0))))/SUMPRODUCT(($G$8:$G$32&gt;0)*($G$8:$G$32))</f>
        <v>3404.8010717187781</v>
      </c>
      <c r="F70" s="93">
        <f t="shared" si="1"/>
        <v>948206.38249673136</v>
      </c>
    </row>
    <row r="71" spans="2:11" x14ac:dyDescent="0.3">
      <c r="B71" s="61" t="s">
        <v>50</v>
      </c>
      <c r="C71" s="92" cm="1">
        <f t="array" ref="C71">(VLOOKUP($B71,$E$8:$G$32,3,0)*(-(VLOOKUP(C$50,$E$8:$G$32,3,0))))/SUMPRODUCT(($G$8:$G$32&gt;0)*($G$8:$G$32))</f>
        <v>12533.976156203467</v>
      </c>
      <c r="D71" s="92" cm="1">
        <f t="array" ref="D71">(VLOOKUP($B71,$E$8:$G$32,3,0)*(-(VLOOKUP(D$50,$E$8:$G$32,3,0))))/SUMPRODUCT(($G$8:$G$32&gt;0)*($G$8:$G$32))</f>
        <v>2492.0000851595014</v>
      </c>
      <c r="E71" s="92" cm="1">
        <f t="array" ref="E71">(VLOOKUP($B71,$E$8:$G$32,3,0)*(-(VLOOKUP(E$50,$E$8:$G$32,3,0))))/SUMPRODUCT(($G$8:$G$32&gt;0)*($G$8:$G$32))</f>
        <v>54.149422498901757</v>
      </c>
      <c r="F71" s="93">
        <f t="shared" si="1"/>
        <v>15080.125663861871</v>
      </c>
    </row>
    <row r="72" spans="2:11" x14ac:dyDescent="0.3">
      <c r="B72" s="61" t="s">
        <v>49</v>
      </c>
      <c r="C72" s="92" cm="1">
        <f t="array" ref="C72">(VLOOKUP($B72,$E$8:$G$32,3,0)*(-(VLOOKUP(C$50,$E$8:$G$32,3,0))))/SUMPRODUCT(($G$8:$G$32&gt;0)*($G$8:$G$32))</f>
        <v>0</v>
      </c>
      <c r="D72" s="92" cm="1">
        <f t="array" ref="D72">(VLOOKUP($B72,$E$8:$G$32,3,0)*(-(VLOOKUP(D$50,$E$8:$G$32,3,0))))/SUMPRODUCT(($G$8:$G$32&gt;0)*($G$8:$G$32))</f>
        <v>0</v>
      </c>
      <c r="E72" s="92" cm="1">
        <f t="array" ref="E72">(VLOOKUP($B72,$E$8:$G$32,3,0)*(-(VLOOKUP(E$50,$E$8:$G$32,3,0))))/SUMPRODUCT(($G$8:$G$32&gt;0)*($G$8:$G$32))</f>
        <v>0</v>
      </c>
      <c r="F72" s="93">
        <f t="shared" si="1"/>
        <v>0</v>
      </c>
    </row>
    <row r="73" spans="2:11" x14ac:dyDescent="0.3">
      <c r="B73" s="94" t="s">
        <v>52</v>
      </c>
      <c r="C73" s="95">
        <f>SUM(C51:C72)</f>
        <v>591602730.25515735</v>
      </c>
      <c r="D73" s="95">
        <f>SUM(D51:D72)</f>
        <v>117622216.27067484</v>
      </c>
      <c r="E73" s="95">
        <f>SUM(E51:E72)</f>
        <v>2555848.6622966165</v>
      </c>
      <c r="F73" s="65">
        <f>SUM(F51:F72)</f>
        <v>711780795.18812919</v>
      </c>
    </row>
    <row r="74" spans="2:11" x14ac:dyDescent="0.3">
      <c r="B74" s="40"/>
      <c r="C74" s="86"/>
      <c r="D74" s="86"/>
      <c r="E74" s="86"/>
      <c r="F74" s="86"/>
      <c r="G74" s="86"/>
      <c r="H74" s="86"/>
      <c r="I74" s="86"/>
      <c r="J74" s="86"/>
      <c r="K74" s="14"/>
    </row>
    <row r="75" spans="2:11" x14ac:dyDescent="0.3">
      <c r="B75" s="90"/>
      <c r="C75" s="96"/>
      <c r="D75" s="96"/>
      <c r="E75" s="96"/>
      <c r="F75" s="67">
        <f>-SUMPRODUCT(($G$8:$G$32&lt;0)*($G$8:$G$32))</f>
        <v>711780795.18812919</v>
      </c>
      <c r="H75" s="40"/>
      <c r="I75" s="40"/>
      <c r="J75" s="40"/>
    </row>
    <row r="76" spans="2:11" x14ac:dyDescent="0.3">
      <c r="B76" s="40"/>
      <c r="C76" s="40"/>
      <c r="D76" s="40"/>
      <c r="E76" s="40"/>
      <c r="F76" s="68">
        <f>F73-F75</f>
        <v>0</v>
      </c>
      <c r="H76" s="40"/>
      <c r="I76" s="40"/>
      <c r="J76" s="40"/>
    </row>
    <row r="77" spans="2:11" x14ac:dyDescent="0.3">
      <c r="B77" s="40"/>
      <c r="C77" s="40"/>
      <c r="D77" s="40"/>
      <c r="E77" s="40"/>
      <c r="F77" s="68">
        <f>F73-J6</f>
        <v>0</v>
      </c>
      <c r="H77" s="40"/>
      <c r="I77" s="40"/>
      <c r="J77" s="40"/>
    </row>
    <row r="91" spans="4:7" x14ac:dyDescent="0.3">
      <c r="D91" s="40"/>
      <c r="E91" s="40"/>
      <c r="F91" s="40"/>
      <c r="G91" s="40"/>
    </row>
  </sheetData>
  <mergeCells count="9">
    <mergeCell ref="J6:J7"/>
    <mergeCell ref="B49:B50"/>
    <mergeCell ref="C49:E49"/>
    <mergeCell ref="B6:B7"/>
    <mergeCell ref="C6:C7"/>
    <mergeCell ref="E6:E7"/>
    <mergeCell ref="F6:F7"/>
    <mergeCell ref="G6:G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17</vt:i4>
      </vt:variant>
    </vt:vector>
  </HeadingPairs>
  <TitlesOfParts>
    <vt:vector size="28" baseType="lpstr">
      <vt:lpstr>Entrada AR</vt:lpstr>
      <vt:lpstr>Entrada TD</vt:lpstr>
      <vt:lpstr>Entrada CDRGL</vt:lpstr>
      <vt:lpstr>Entrada 7TRAN</vt:lpstr>
      <vt:lpstr>Reliquidación TD</vt:lpstr>
      <vt:lpstr>Reliquidación AR</vt:lpstr>
      <vt:lpstr>CUADRO DE PAGO AR</vt:lpstr>
      <vt:lpstr>Reliquidación CD RGL</vt:lpstr>
      <vt:lpstr>CUADRO DE PAGO CD RGL</vt:lpstr>
      <vt:lpstr>Reliquidación 7TRAN</vt:lpstr>
      <vt:lpstr>CUADRO DE PAGO 7TRAN</vt:lpstr>
      <vt:lpstr>'Entrada 7TRAN'!DirectorioEntrada</vt:lpstr>
      <vt:lpstr>'Entrada AR'!DirectorioEntrada</vt:lpstr>
      <vt:lpstr>'Entrada CDRGL'!DirectorioEntrada</vt:lpstr>
      <vt:lpstr>'Entrada TD'!DirectorioEntrada</vt:lpstr>
      <vt:lpstr>'Entrada 7TRAN'!FechaFacturacion</vt:lpstr>
      <vt:lpstr>'Entrada AR'!FechaFacturacion</vt:lpstr>
      <vt:lpstr>'Entrada CDRGL'!FechaFacturacion</vt:lpstr>
      <vt:lpstr>'Entrada TD'!FechaFacturacion</vt:lpstr>
      <vt:lpstr>FechaFacturacion</vt:lpstr>
      <vt:lpstr>'Entrada 7TRAN'!Responsable</vt:lpstr>
      <vt:lpstr>'Entrada AR'!Responsable</vt:lpstr>
      <vt:lpstr>'Entrada CDRGL'!Responsable</vt:lpstr>
      <vt:lpstr>'Entrada TD'!Responsable</vt:lpstr>
      <vt:lpstr>'Entrada 7TRAN'!version</vt:lpstr>
      <vt:lpstr>'Entrada AR'!version</vt:lpstr>
      <vt:lpstr>'Entrada CDRGL'!version</vt:lpstr>
      <vt:lpstr>'Entrada TD'!version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Nanco Mulato</dc:creator>
  <cp:lastModifiedBy>Elias Nanco Mulato</cp:lastModifiedBy>
  <dcterms:created xsi:type="dcterms:W3CDTF">2025-06-12T19:11:45Z</dcterms:created>
  <dcterms:modified xsi:type="dcterms:W3CDTF">2025-06-12T21:40:18Z</dcterms:modified>
</cp:coreProperties>
</file>