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as.nanco\Documents LOCAL\02 Cargos Tarifarios\2025\07\pre\"/>
    </mc:Choice>
  </mc:AlternateContent>
  <xr:revisionPtr revIDLastSave="0" documentId="13_ncr:1_{81F787BC-F8BB-4138-82CD-32DA698E1535}" xr6:coauthVersionLast="47" xr6:coauthVersionMax="47" xr10:uidLastSave="{00000000-0000-0000-0000-000000000000}"/>
  <bookViews>
    <workbookView xWindow="-120" yWindow="-16320" windowWidth="29040" windowHeight="15720" xr2:uid="{716359B0-1A3A-49D3-99F5-93C58C5B3585}"/>
  </bookViews>
  <sheets>
    <sheet name="Entrada AR" sheetId="1" r:id="rId1"/>
    <sheet name="Entrada TD" sheetId="2" r:id="rId2"/>
    <sheet name="Entrada CDRGL" sheetId="3" r:id="rId3"/>
    <sheet name="Entrada 7TRAN" sheetId="4" r:id="rId4"/>
    <sheet name="Reliquidación TD" sheetId="5" r:id="rId5"/>
    <sheet name="Reliquidación AR" sheetId="6" r:id="rId6"/>
    <sheet name="CUADRO DE PAGO AR" sheetId="7" r:id="rId7"/>
    <sheet name="Reliquidación CD RGL" sheetId="8" r:id="rId8"/>
    <sheet name="CUADRO DE PAGO CD RGL" sheetId="9" r:id="rId9"/>
    <sheet name="Reliquidación 7TRAN" sheetId="10" r:id="rId10"/>
    <sheet name="CUADRO DE PAGO 7TRAN" sheetId="11" r:id="rId11"/>
  </sheets>
  <externalReferences>
    <externalReference r:id="rId12"/>
  </externalReferences>
  <definedNames>
    <definedName name="_xlnm._FilterDatabase" localSheetId="10" hidden="1">'CUADRO DE PAGO 7TRAN'!$E$6:$G$33</definedName>
    <definedName name="_xlnm._FilterDatabase" localSheetId="6" hidden="1">'CUADRO DE PAGO AR'!$E$6:$G$33</definedName>
    <definedName name="_xlnm._FilterDatabase" localSheetId="8" hidden="1">'CUADRO DE PAGO CD RGL'!$E$6:$G$33</definedName>
    <definedName name="_xlnm._FilterDatabase" localSheetId="3" hidden="1">'Entrada 7TRAN'!$F$7:$J$44</definedName>
    <definedName name="_xlnm._FilterDatabase" localSheetId="0" hidden="1">'Entrada AR'!$F$6:$J$44</definedName>
    <definedName name="_xlnm._FilterDatabase" localSheetId="2" hidden="1">'Entrada CDRGL'!$F$7:$J$44</definedName>
    <definedName name="_xlnm._FilterDatabase" localSheetId="9" hidden="1">'Reliquidación 7TRAN'!$O$8:$O$44</definedName>
    <definedName name="_xlnm._FilterDatabase" localSheetId="7" hidden="1">'Reliquidación CD RGL'!$O$8:$O$44</definedName>
    <definedName name="_xlnm._FilterDatabase" localSheetId="4" hidden="1">'Reliquidación TD'!$O$8:$O$43</definedName>
    <definedName name="DirectorioEntrada" localSheetId="3">'Entrada 7TRAN'!$G$3</definedName>
    <definedName name="DirectorioEntrada" localSheetId="0">'Entrada AR'!$G$3</definedName>
    <definedName name="DirectorioEntrada" localSheetId="2">'Entrada CDRGL'!$G$3</definedName>
    <definedName name="DirectorioEntrada" localSheetId="1">'Entrada TD'!$G$3</definedName>
    <definedName name="FechaFacturacion" localSheetId="3">'Entrada 7TRAN'!$B$3</definedName>
    <definedName name="FechaFacturacion" localSheetId="0">'Entrada AR'!$B$3</definedName>
    <definedName name="FechaFacturacion" localSheetId="2">'Entrada CDRGL'!$B$3</definedName>
    <definedName name="FechaFacturacion" localSheetId="1">'Entrada TD'!$B$3</definedName>
    <definedName name="FechaFacturacion">'Entrada AR'!$B$3</definedName>
    <definedName name="Responsable" localSheetId="3">'Entrada 7TRAN'!$G$4</definedName>
    <definedName name="Responsable" localSheetId="0">'Entrada AR'!$G$4</definedName>
    <definedName name="Responsable" localSheetId="2">'Entrada CDRGL'!$G$4</definedName>
    <definedName name="Responsable" localSheetId="1">'Entrada TD'!$G$4</definedName>
    <definedName name="version" localSheetId="3">'Entrada 7TRAN'!$G$2</definedName>
    <definedName name="version" localSheetId="0">'Entrada AR'!$G$2</definedName>
    <definedName name="version" localSheetId="2">'Entrada CDRGL'!$G$2</definedName>
    <definedName name="version" localSheetId="1">'Entrada TD'!$G$2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2" i="11" l="1"/>
  <c r="C41" i="11"/>
  <c r="C40" i="11"/>
  <c r="C39" i="11"/>
  <c r="C38" i="11"/>
  <c r="C37" i="11"/>
  <c r="C36" i="11"/>
  <c r="C35" i="11"/>
  <c r="C34" i="11"/>
  <c r="G27" i="11" s="1"/>
  <c r="F33" i="11"/>
  <c r="C33" i="11"/>
  <c r="G26" i="11" s="1"/>
  <c r="G32" i="11"/>
  <c r="C32" i="11"/>
  <c r="G25" i="11" s="1"/>
  <c r="G31" i="11"/>
  <c r="C31" i="11"/>
  <c r="G30" i="11"/>
  <c r="C30" i="11"/>
  <c r="G23" i="11" s="1"/>
  <c r="G29" i="11"/>
  <c r="C29" i="11"/>
  <c r="G22" i="11" s="1"/>
  <c r="G28" i="11"/>
  <c r="C28" i="11"/>
  <c r="C27" i="11"/>
  <c r="C26" i="11"/>
  <c r="G19" i="11" s="1"/>
  <c r="C25" i="11"/>
  <c r="G18" i="11" s="1"/>
  <c r="G24" i="11"/>
  <c r="C24" i="11"/>
  <c r="C23" i="11"/>
  <c r="G16" i="11" s="1"/>
  <c r="C22" i="11"/>
  <c r="G15" i="11" s="1"/>
  <c r="G21" i="11"/>
  <c r="C21" i="11"/>
  <c r="G20" i="11"/>
  <c r="C20" i="11"/>
  <c r="C19" i="11"/>
  <c r="C18" i="11"/>
  <c r="G17" i="11"/>
  <c r="C17" i="11"/>
  <c r="G13" i="11" s="1"/>
  <c r="C16" i="11"/>
  <c r="C15" i="11"/>
  <c r="G14" i="11"/>
  <c r="C14" i="11"/>
  <c r="C13" i="11"/>
  <c r="C12" i="11"/>
  <c r="G12" i="11" s="1"/>
  <c r="C11" i="11"/>
  <c r="G11" i="11" s="1"/>
  <c r="G10" i="11"/>
  <c r="C10" i="11"/>
  <c r="C9" i="11"/>
  <c r="G9" i="11" s="1"/>
  <c r="C8" i="11"/>
  <c r="G8" i="11" s="1"/>
  <c r="B3" i="11"/>
  <c r="J44" i="10"/>
  <c r="H44" i="10"/>
  <c r="L43" i="10"/>
  <c r="K43" i="10"/>
  <c r="I43" i="10"/>
  <c r="G43" i="10"/>
  <c r="F43" i="10"/>
  <c r="E43" i="10"/>
  <c r="D43" i="10"/>
  <c r="C43" i="10"/>
  <c r="K42" i="10"/>
  <c r="I42" i="10"/>
  <c r="G42" i="10"/>
  <c r="L42" i="10" s="1"/>
  <c r="F42" i="10"/>
  <c r="E42" i="10"/>
  <c r="D42" i="10"/>
  <c r="C42" i="10"/>
  <c r="G41" i="10"/>
  <c r="F41" i="10"/>
  <c r="E41" i="10"/>
  <c r="D41" i="10"/>
  <c r="C41" i="10"/>
  <c r="G40" i="10"/>
  <c r="F40" i="10"/>
  <c r="E40" i="10"/>
  <c r="D40" i="10"/>
  <c r="C40" i="10"/>
  <c r="G39" i="10"/>
  <c r="F39" i="10"/>
  <c r="E39" i="10"/>
  <c r="D39" i="10"/>
  <c r="C39" i="10"/>
  <c r="K38" i="10"/>
  <c r="I38" i="10"/>
  <c r="L38" i="10" s="1"/>
  <c r="G38" i="10"/>
  <c r="F38" i="10"/>
  <c r="E38" i="10"/>
  <c r="D38" i="10"/>
  <c r="C38" i="10"/>
  <c r="K37" i="10"/>
  <c r="I37" i="10"/>
  <c r="G37" i="10"/>
  <c r="L37" i="10" s="1"/>
  <c r="F37" i="10"/>
  <c r="E37" i="10"/>
  <c r="D37" i="10"/>
  <c r="C37" i="10"/>
  <c r="L36" i="10"/>
  <c r="K36" i="10"/>
  <c r="I36" i="10"/>
  <c r="G36" i="10"/>
  <c r="F36" i="10"/>
  <c r="E36" i="10"/>
  <c r="D36" i="10"/>
  <c r="C36" i="10"/>
  <c r="K35" i="10"/>
  <c r="I35" i="10"/>
  <c r="G35" i="10"/>
  <c r="L35" i="10" s="1"/>
  <c r="F35" i="10"/>
  <c r="E35" i="10"/>
  <c r="D35" i="10"/>
  <c r="C35" i="10"/>
  <c r="I34" i="10"/>
  <c r="G34" i="10"/>
  <c r="F34" i="10"/>
  <c r="E34" i="10"/>
  <c r="D34" i="10"/>
  <c r="C34" i="10"/>
  <c r="K33" i="10"/>
  <c r="G33" i="10"/>
  <c r="F33" i="10"/>
  <c r="E33" i="10"/>
  <c r="D33" i="10"/>
  <c r="C33" i="10"/>
  <c r="G32" i="10"/>
  <c r="F32" i="10"/>
  <c r="E32" i="10"/>
  <c r="D32" i="10"/>
  <c r="C32" i="10"/>
  <c r="K31" i="10"/>
  <c r="I31" i="10"/>
  <c r="L31" i="10" s="1"/>
  <c r="G31" i="10"/>
  <c r="F31" i="10"/>
  <c r="E31" i="10"/>
  <c r="D31" i="10"/>
  <c r="C31" i="10"/>
  <c r="K30" i="10"/>
  <c r="I30" i="10"/>
  <c r="G30" i="10"/>
  <c r="L30" i="10" s="1"/>
  <c r="F30" i="10"/>
  <c r="E30" i="10"/>
  <c r="D30" i="10"/>
  <c r="C30" i="10"/>
  <c r="L29" i="10"/>
  <c r="K29" i="10"/>
  <c r="I29" i="10"/>
  <c r="G29" i="10"/>
  <c r="F29" i="10"/>
  <c r="E29" i="10"/>
  <c r="D29" i="10"/>
  <c r="C29" i="10"/>
  <c r="K28" i="10"/>
  <c r="I28" i="10"/>
  <c r="G28" i="10"/>
  <c r="L28" i="10" s="1"/>
  <c r="F28" i="10"/>
  <c r="E28" i="10"/>
  <c r="D28" i="10"/>
  <c r="C28" i="10"/>
  <c r="I27" i="10"/>
  <c r="G27" i="10"/>
  <c r="F27" i="10"/>
  <c r="E27" i="10"/>
  <c r="D27" i="10"/>
  <c r="C27" i="10"/>
  <c r="K26" i="10"/>
  <c r="G26" i="10"/>
  <c r="F26" i="10"/>
  <c r="E26" i="10"/>
  <c r="D26" i="10"/>
  <c r="C26" i="10"/>
  <c r="G25" i="10"/>
  <c r="F25" i="10"/>
  <c r="E25" i="10"/>
  <c r="D25" i="10"/>
  <c r="C25" i="10"/>
  <c r="K24" i="10"/>
  <c r="I24" i="10"/>
  <c r="L24" i="10" s="1"/>
  <c r="G24" i="10"/>
  <c r="F24" i="10"/>
  <c r="E24" i="10"/>
  <c r="D24" i="10"/>
  <c r="C24" i="10"/>
  <c r="K23" i="10"/>
  <c r="I23" i="10"/>
  <c r="G23" i="10"/>
  <c r="L23" i="10" s="1"/>
  <c r="F23" i="10"/>
  <c r="E23" i="10"/>
  <c r="D23" i="10"/>
  <c r="C23" i="10"/>
  <c r="K22" i="10"/>
  <c r="I22" i="10"/>
  <c r="G22" i="10"/>
  <c r="L22" i="10" s="1"/>
  <c r="F22" i="10"/>
  <c r="E22" i="10"/>
  <c r="D22" i="10"/>
  <c r="C22" i="10"/>
  <c r="K21" i="10"/>
  <c r="I21" i="10"/>
  <c r="G21" i="10"/>
  <c r="L21" i="10" s="1"/>
  <c r="F21" i="10"/>
  <c r="E21" i="10"/>
  <c r="D21" i="10"/>
  <c r="C21" i="10"/>
  <c r="I20" i="10"/>
  <c r="G20" i="10"/>
  <c r="F20" i="10"/>
  <c r="E20" i="10"/>
  <c r="D20" i="10"/>
  <c r="C20" i="10"/>
  <c r="K19" i="10"/>
  <c r="G19" i="10"/>
  <c r="F19" i="10"/>
  <c r="E19" i="10"/>
  <c r="D19" i="10"/>
  <c r="C19" i="10"/>
  <c r="G18" i="10"/>
  <c r="F18" i="10"/>
  <c r="E18" i="10"/>
  <c r="D18" i="10"/>
  <c r="C18" i="10"/>
  <c r="K17" i="10"/>
  <c r="I17" i="10"/>
  <c r="L17" i="10" s="1"/>
  <c r="G17" i="10"/>
  <c r="F17" i="10"/>
  <c r="E17" i="10"/>
  <c r="D17" i="10"/>
  <c r="C17" i="10"/>
  <c r="K16" i="10"/>
  <c r="I16" i="10"/>
  <c r="G16" i="10"/>
  <c r="L16" i="10" s="1"/>
  <c r="F16" i="10"/>
  <c r="E16" i="10"/>
  <c r="D16" i="10"/>
  <c r="C16" i="10"/>
  <c r="K15" i="10"/>
  <c r="I15" i="10"/>
  <c r="G15" i="10"/>
  <c r="L15" i="10" s="1"/>
  <c r="F15" i="10"/>
  <c r="E15" i="10"/>
  <c r="D15" i="10"/>
  <c r="C15" i="10"/>
  <c r="K14" i="10"/>
  <c r="I14" i="10"/>
  <c r="G14" i="10"/>
  <c r="L14" i="10" s="1"/>
  <c r="F14" i="10"/>
  <c r="E14" i="10"/>
  <c r="D14" i="10"/>
  <c r="C14" i="10"/>
  <c r="I13" i="10"/>
  <c r="G13" i="10"/>
  <c r="F13" i="10"/>
  <c r="E13" i="10"/>
  <c r="D13" i="10"/>
  <c r="C13" i="10"/>
  <c r="K12" i="10"/>
  <c r="G12" i="10"/>
  <c r="F12" i="10"/>
  <c r="E12" i="10"/>
  <c r="D12" i="10"/>
  <c r="C12" i="10"/>
  <c r="L11" i="10"/>
  <c r="M11" i="10" s="1"/>
  <c r="K11" i="10"/>
  <c r="I11" i="10"/>
  <c r="G11" i="10"/>
  <c r="F11" i="10"/>
  <c r="E11" i="10"/>
  <c r="D11" i="10"/>
  <c r="C11" i="10"/>
  <c r="K10" i="10"/>
  <c r="I10" i="10"/>
  <c r="L10" i="10" s="1"/>
  <c r="G10" i="10"/>
  <c r="F10" i="10"/>
  <c r="E10" i="10"/>
  <c r="D10" i="10"/>
  <c r="C10" i="10"/>
  <c r="K9" i="10"/>
  <c r="I9" i="10"/>
  <c r="G9" i="10"/>
  <c r="L9" i="10" s="1"/>
  <c r="F9" i="10"/>
  <c r="F44" i="10" s="1"/>
  <c r="E9" i="10"/>
  <c r="E44" i="10" s="1"/>
  <c r="D9" i="10"/>
  <c r="D44" i="10" s="1"/>
  <c r="C9" i="10"/>
  <c r="C44" i="10" s="1"/>
  <c r="I4" i="10"/>
  <c r="K39" i="10" s="1"/>
  <c r="B3" i="10"/>
  <c r="H6" i="10" s="1"/>
  <c r="C42" i="9"/>
  <c r="G32" i="9" s="1"/>
  <c r="C41" i="9"/>
  <c r="G31" i="9" s="1"/>
  <c r="C40" i="9"/>
  <c r="C39" i="9"/>
  <c r="C38" i="9"/>
  <c r="C37" i="9"/>
  <c r="C36" i="9"/>
  <c r="C35" i="9"/>
  <c r="C34" i="9"/>
  <c r="F33" i="9"/>
  <c r="C33" i="9"/>
  <c r="G26" i="9" s="1"/>
  <c r="C32" i="9"/>
  <c r="G25" i="9" s="1"/>
  <c r="C31" i="9"/>
  <c r="G24" i="9" s="1"/>
  <c r="G30" i="9"/>
  <c r="C30" i="9"/>
  <c r="G23" i="9" s="1"/>
  <c r="G29" i="9"/>
  <c r="C29" i="9"/>
  <c r="G22" i="9" s="1"/>
  <c r="G28" i="9"/>
  <c r="C28" i="9"/>
  <c r="G27" i="9"/>
  <c r="C27" i="9"/>
  <c r="C26" i="9"/>
  <c r="G19" i="9" s="1"/>
  <c r="C25" i="9"/>
  <c r="G18" i="9" s="1"/>
  <c r="C24" i="9"/>
  <c r="G17" i="9" s="1"/>
  <c r="C23" i="9"/>
  <c r="G16" i="9" s="1"/>
  <c r="C22" i="9"/>
  <c r="G15" i="9" s="1"/>
  <c r="G21" i="9"/>
  <c r="C21" i="9"/>
  <c r="G20" i="9"/>
  <c r="C20" i="9"/>
  <c r="C19" i="9"/>
  <c r="C18" i="9"/>
  <c r="C17" i="9"/>
  <c r="G13" i="9" s="1"/>
  <c r="C16" i="9"/>
  <c r="C15" i="9"/>
  <c r="G14" i="9"/>
  <c r="C14" i="9"/>
  <c r="C13" i="9"/>
  <c r="C12" i="9"/>
  <c r="G12" i="9" s="1"/>
  <c r="C11" i="9"/>
  <c r="G11" i="9" s="1"/>
  <c r="C10" i="9"/>
  <c r="G10" i="9" s="1"/>
  <c r="C9" i="9"/>
  <c r="G9" i="9" s="1"/>
  <c r="C8" i="9"/>
  <c r="C43" i="9" s="1"/>
  <c r="B3" i="9"/>
  <c r="J44" i="8"/>
  <c r="H44" i="8"/>
  <c r="K43" i="8"/>
  <c r="I43" i="8"/>
  <c r="G43" i="8"/>
  <c r="L43" i="8" s="1"/>
  <c r="F43" i="8"/>
  <c r="E43" i="8"/>
  <c r="D43" i="8"/>
  <c r="C43" i="8"/>
  <c r="I42" i="8"/>
  <c r="G42" i="8"/>
  <c r="F42" i="8"/>
  <c r="E42" i="8"/>
  <c r="D42" i="8"/>
  <c r="C42" i="8"/>
  <c r="I41" i="8"/>
  <c r="G41" i="8"/>
  <c r="F41" i="8"/>
  <c r="E41" i="8"/>
  <c r="D41" i="8"/>
  <c r="C41" i="8"/>
  <c r="G40" i="8"/>
  <c r="F40" i="8"/>
  <c r="E40" i="8"/>
  <c r="D40" i="8"/>
  <c r="C40" i="8"/>
  <c r="G39" i="8"/>
  <c r="F39" i="8"/>
  <c r="E39" i="8"/>
  <c r="D39" i="8"/>
  <c r="C39" i="8"/>
  <c r="K38" i="8"/>
  <c r="I38" i="8"/>
  <c r="L38" i="8" s="1"/>
  <c r="G38" i="8"/>
  <c r="F38" i="8"/>
  <c r="E38" i="8"/>
  <c r="D38" i="8"/>
  <c r="C38" i="8"/>
  <c r="K37" i="8"/>
  <c r="G37" i="8"/>
  <c r="F37" i="8"/>
  <c r="E37" i="8"/>
  <c r="D37" i="8"/>
  <c r="C37" i="8"/>
  <c r="K36" i="8"/>
  <c r="I36" i="8"/>
  <c r="G36" i="8"/>
  <c r="L36" i="8" s="1"/>
  <c r="F36" i="8"/>
  <c r="E36" i="8"/>
  <c r="D36" i="8"/>
  <c r="C36" i="8"/>
  <c r="I35" i="8"/>
  <c r="G35" i="8"/>
  <c r="F35" i="8"/>
  <c r="E35" i="8"/>
  <c r="D35" i="8"/>
  <c r="C35" i="8"/>
  <c r="I34" i="8"/>
  <c r="G34" i="8"/>
  <c r="F34" i="8"/>
  <c r="E34" i="8"/>
  <c r="D34" i="8"/>
  <c r="C34" i="8"/>
  <c r="G33" i="8"/>
  <c r="F33" i="8"/>
  <c r="E33" i="8"/>
  <c r="D33" i="8"/>
  <c r="C33" i="8"/>
  <c r="G32" i="8"/>
  <c r="F32" i="8"/>
  <c r="E32" i="8"/>
  <c r="D32" i="8"/>
  <c r="C32" i="8"/>
  <c r="K31" i="8"/>
  <c r="I31" i="8"/>
  <c r="G31" i="8"/>
  <c r="L31" i="8" s="1"/>
  <c r="F31" i="8"/>
  <c r="E31" i="8"/>
  <c r="D31" i="8"/>
  <c r="C31" i="8"/>
  <c r="K30" i="8"/>
  <c r="G30" i="8"/>
  <c r="F30" i="8"/>
  <c r="E30" i="8"/>
  <c r="D30" i="8"/>
  <c r="C30" i="8"/>
  <c r="K29" i="8"/>
  <c r="I29" i="8"/>
  <c r="G29" i="8"/>
  <c r="L29" i="8" s="1"/>
  <c r="F29" i="8"/>
  <c r="E29" i="8"/>
  <c r="D29" i="8"/>
  <c r="C29" i="8"/>
  <c r="I28" i="8"/>
  <c r="G28" i="8"/>
  <c r="F28" i="8"/>
  <c r="E28" i="8"/>
  <c r="D28" i="8"/>
  <c r="C28" i="8"/>
  <c r="I27" i="8"/>
  <c r="G27" i="8"/>
  <c r="F27" i="8"/>
  <c r="E27" i="8"/>
  <c r="D27" i="8"/>
  <c r="C27" i="8"/>
  <c r="G26" i="8"/>
  <c r="F26" i="8"/>
  <c r="E26" i="8"/>
  <c r="D26" i="8"/>
  <c r="C26" i="8"/>
  <c r="G25" i="8"/>
  <c r="F25" i="8"/>
  <c r="E25" i="8"/>
  <c r="D25" i="8"/>
  <c r="C25" i="8"/>
  <c r="K24" i="8"/>
  <c r="I24" i="8"/>
  <c r="G24" i="8"/>
  <c r="L24" i="8" s="1"/>
  <c r="F24" i="8"/>
  <c r="E24" i="8"/>
  <c r="D24" i="8"/>
  <c r="C24" i="8"/>
  <c r="K23" i="8"/>
  <c r="G23" i="8"/>
  <c r="F23" i="8"/>
  <c r="E23" i="8"/>
  <c r="D23" i="8"/>
  <c r="C23" i="8"/>
  <c r="K22" i="8"/>
  <c r="I22" i="8"/>
  <c r="G22" i="8"/>
  <c r="L22" i="8" s="1"/>
  <c r="F22" i="8"/>
  <c r="E22" i="8"/>
  <c r="D22" i="8"/>
  <c r="C22" i="8"/>
  <c r="I21" i="8"/>
  <c r="G21" i="8"/>
  <c r="F21" i="8"/>
  <c r="E21" i="8"/>
  <c r="D21" i="8"/>
  <c r="C21" i="8"/>
  <c r="I20" i="8"/>
  <c r="G20" i="8"/>
  <c r="F20" i="8"/>
  <c r="E20" i="8"/>
  <c r="D20" i="8"/>
  <c r="C20" i="8"/>
  <c r="G19" i="8"/>
  <c r="F19" i="8"/>
  <c r="E19" i="8"/>
  <c r="D19" i="8"/>
  <c r="C19" i="8"/>
  <c r="G18" i="8"/>
  <c r="F18" i="8"/>
  <c r="E18" i="8"/>
  <c r="D18" i="8"/>
  <c r="C18" i="8"/>
  <c r="K17" i="8"/>
  <c r="I17" i="8"/>
  <c r="G17" i="8"/>
  <c r="L17" i="8" s="1"/>
  <c r="F17" i="8"/>
  <c r="E17" i="8"/>
  <c r="D17" i="8"/>
  <c r="C17" i="8"/>
  <c r="K16" i="8"/>
  <c r="G16" i="8"/>
  <c r="F16" i="8"/>
  <c r="E16" i="8"/>
  <c r="D16" i="8"/>
  <c r="C16" i="8"/>
  <c r="K15" i="8"/>
  <c r="I15" i="8"/>
  <c r="G15" i="8"/>
  <c r="L15" i="8" s="1"/>
  <c r="F15" i="8"/>
  <c r="E15" i="8"/>
  <c r="D15" i="8"/>
  <c r="C15" i="8"/>
  <c r="I14" i="8"/>
  <c r="G14" i="8"/>
  <c r="F14" i="8"/>
  <c r="E14" i="8"/>
  <c r="D14" i="8"/>
  <c r="C14" i="8"/>
  <c r="I13" i="8"/>
  <c r="G13" i="8"/>
  <c r="F13" i="8"/>
  <c r="E13" i="8"/>
  <c r="D13" i="8"/>
  <c r="C13" i="8"/>
  <c r="G12" i="8"/>
  <c r="F12" i="8"/>
  <c r="E12" i="8"/>
  <c r="D12" i="8"/>
  <c r="C12" i="8"/>
  <c r="G11" i="8"/>
  <c r="F11" i="8"/>
  <c r="E11" i="8"/>
  <c r="D11" i="8"/>
  <c r="C11" i="8"/>
  <c r="K10" i="8"/>
  <c r="I10" i="8"/>
  <c r="G10" i="8"/>
  <c r="L10" i="8" s="1"/>
  <c r="F10" i="8"/>
  <c r="E10" i="8"/>
  <c r="D10" i="8"/>
  <c r="C10" i="8"/>
  <c r="K9" i="8"/>
  <c r="G9" i="8"/>
  <c r="F9" i="8"/>
  <c r="F44" i="8" s="1"/>
  <c r="E9" i="8"/>
  <c r="E44" i="8" s="1"/>
  <c r="D9" i="8"/>
  <c r="D44" i="8" s="1"/>
  <c r="C9" i="8"/>
  <c r="C44" i="8" s="1"/>
  <c r="I4" i="8"/>
  <c r="K39" i="8" s="1"/>
  <c r="B3" i="8"/>
  <c r="H6" i="8" s="1"/>
  <c r="F33" i="7"/>
  <c r="B3" i="7"/>
  <c r="R44" i="6"/>
  <c r="K44" i="6"/>
  <c r="J44" i="6"/>
  <c r="H44" i="6"/>
  <c r="M43" i="6"/>
  <c r="K43" i="6"/>
  <c r="G43" i="6"/>
  <c r="F43" i="6"/>
  <c r="E43" i="6"/>
  <c r="D43" i="6"/>
  <c r="C43" i="6"/>
  <c r="K42" i="6"/>
  <c r="G42" i="6"/>
  <c r="F42" i="6"/>
  <c r="E42" i="6"/>
  <c r="D42" i="6"/>
  <c r="C42" i="6"/>
  <c r="K41" i="6"/>
  <c r="G41" i="6"/>
  <c r="F41" i="6"/>
  <c r="E41" i="6"/>
  <c r="D41" i="6"/>
  <c r="C41" i="6"/>
  <c r="K40" i="6"/>
  <c r="G40" i="6"/>
  <c r="F40" i="6"/>
  <c r="E40" i="6"/>
  <c r="D40" i="6"/>
  <c r="C40" i="6"/>
  <c r="K39" i="6"/>
  <c r="G39" i="6"/>
  <c r="F39" i="6"/>
  <c r="E39" i="6"/>
  <c r="D39" i="6"/>
  <c r="C39" i="6"/>
  <c r="K38" i="6"/>
  <c r="G38" i="6"/>
  <c r="F38" i="6"/>
  <c r="E38" i="6"/>
  <c r="D38" i="6"/>
  <c r="C38" i="6"/>
  <c r="K37" i="6"/>
  <c r="G37" i="6"/>
  <c r="F37" i="6"/>
  <c r="E37" i="6"/>
  <c r="D37" i="6"/>
  <c r="C37" i="6"/>
  <c r="K36" i="6"/>
  <c r="G36" i="6"/>
  <c r="F36" i="6"/>
  <c r="E36" i="6"/>
  <c r="D36" i="6"/>
  <c r="C36" i="6"/>
  <c r="K35" i="6"/>
  <c r="G35" i="6"/>
  <c r="F35" i="6"/>
  <c r="E35" i="6"/>
  <c r="D35" i="6"/>
  <c r="C35" i="6"/>
  <c r="K34" i="6"/>
  <c r="G34" i="6"/>
  <c r="F34" i="6"/>
  <c r="E34" i="6"/>
  <c r="D34" i="6"/>
  <c r="C34" i="6"/>
  <c r="K33" i="6"/>
  <c r="G33" i="6"/>
  <c r="F33" i="6"/>
  <c r="E33" i="6"/>
  <c r="D33" i="6"/>
  <c r="C33" i="6"/>
  <c r="K32" i="6"/>
  <c r="G32" i="6"/>
  <c r="F32" i="6"/>
  <c r="E32" i="6"/>
  <c r="D32" i="6"/>
  <c r="C32" i="6"/>
  <c r="K31" i="6"/>
  <c r="G31" i="6"/>
  <c r="F31" i="6"/>
  <c r="E31" i="6"/>
  <c r="D31" i="6"/>
  <c r="C31" i="6"/>
  <c r="K30" i="6"/>
  <c r="G30" i="6"/>
  <c r="F30" i="6"/>
  <c r="E30" i="6"/>
  <c r="D30" i="6"/>
  <c r="C30" i="6"/>
  <c r="K29" i="6"/>
  <c r="G29" i="6"/>
  <c r="F29" i="6"/>
  <c r="E29" i="6"/>
  <c r="D29" i="6"/>
  <c r="C29" i="6"/>
  <c r="K28" i="6"/>
  <c r="G28" i="6"/>
  <c r="F28" i="6"/>
  <c r="E28" i="6"/>
  <c r="D28" i="6"/>
  <c r="C28" i="6"/>
  <c r="K27" i="6"/>
  <c r="G27" i="6"/>
  <c r="F27" i="6"/>
  <c r="E27" i="6"/>
  <c r="D27" i="6"/>
  <c r="C27" i="6"/>
  <c r="K26" i="6"/>
  <c r="G26" i="6"/>
  <c r="F26" i="6"/>
  <c r="E26" i="6"/>
  <c r="D26" i="6"/>
  <c r="C26" i="6"/>
  <c r="K25" i="6"/>
  <c r="G25" i="6"/>
  <c r="F25" i="6"/>
  <c r="E25" i="6"/>
  <c r="D25" i="6"/>
  <c r="C25" i="6"/>
  <c r="K24" i="6"/>
  <c r="G24" i="6"/>
  <c r="F24" i="6"/>
  <c r="E24" i="6"/>
  <c r="D24" i="6"/>
  <c r="C24" i="6"/>
  <c r="K23" i="6"/>
  <c r="G23" i="6"/>
  <c r="F23" i="6"/>
  <c r="E23" i="6"/>
  <c r="D23" i="6"/>
  <c r="C23" i="6"/>
  <c r="K22" i="6"/>
  <c r="G22" i="6"/>
  <c r="F22" i="6"/>
  <c r="E22" i="6"/>
  <c r="D22" i="6"/>
  <c r="C22" i="6"/>
  <c r="K21" i="6"/>
  <c r="G21" i="6"/>
  <c r="F21" i="6"/>
  <c r="E21" i="6"/>
  <c r="D21" i="6"/>
  <c r="C21" i="6"/>
  <c r="K20" i="6"/>
  <c r="G20" i="6"/>
  <c r="F20" i="6"/>
  <c r="E20" i="6"/>
  <c r="D20" i="6"/>
  <c r="C20" i="6"/>
  <c r="K19" i="6"/>
  <c r="G19" i="6"/>
  <c r="F19" i="6"/>
  <c r="E19" i="6"/>
  <c r="D19" i="6"/>
  <c r="C19" i="6"/>
  <c r="K18" i="6"/>
  <c r="G18" i="6"/>
  <c r="F18" i="6"/>
  <c r="E18" i="6"/>
  <c r="D18" i="6"/>
  <c r="C18" i="6"/>
  <c r="K17" i="6"/>
  <c r="G17" i="6"/>
  <c r="F17" i="6"/>
  <c r="E17" i="6"/>
  <c r="D17" i="6"/>
  <c r="C17" i="6"/>
  <c r="K16" i="6"/>
  <c r="G16" i="6"/>
  <c r="F16" i="6"/>
  <c r="E16" i="6"/>
  <c r="D16" i="6"/>
  <c r="C16" i="6"/>
  <c r="K15" i="6"/>
  <c r="G15" i="6"/>
  <c r="F15" i="6"/>
  <c r="E15" i="6"/>
  <c r="D15" i="6"/>
  <c r="C15" i="6"/>
  <c r="K14" i="6"/>
  <c r="G14" i="6"/>
  <c r="F14" i="6"/>
  <c r="E14" i="6"/>
  <c r="D14" i="6"/>
  <c r="C14" i="6"/>
  <c r="K13" i="6"/>
  <c r="G13" i="6"/>
  <c r="F13" i="6"/>
  <c r="E13" i="6"/>
  <c r="D13" i="6"/>
  <c r="C13" i="6"/>
  <c r="K12" i="6"/>
  <c r="G12" i="6"/>
  <c r="F12" i="6"/>
  <c r="E12" i="6"/>
  <c r="D12" i="6"/>
  <c r="C12" i="6"/>
  <c r="K11" i="6"/>
  <c r="G11" i="6"/>
  <c r="F11" i="6"/>
  <c r="E11" i="6"/>
  <c r="D11" i="6"/>
  <c r="C11" i="6"/>
  <c r="K10" i="6"/>
  <c r="G10" i="6"/>
  <c r="F10" i="6"/>
  <c r="E10" i="6"/>
  <c r="D10" i="6"/>
  <c r="C10" i="6"/>
  <c r="K9" i="6"/>
  <c r="G9" i="6"/>
  <c r="F9" i="6"/>
  <c r="E9" i="6"/>
  <c r="D9" i="6"/>
  <c r="D44" i="6" s="1"/>
  <c r="C9" i="6"/>
  <c r="L6" i="6"/>
  <c r="H6" i="6"/>
  <c r="I4" i="6"/>
  <c r="I43" i="6" s="1"/>
  <c r="B3" i="6"/>
  <c r="J44" i="5"/>
  <c r="H44" i="5"/>
  <c r="K43" i="5"/>
  <c r="I43" i="5"/>
  <c r="G43" i="5"/>
  <c r="L43" i="5" s="1"/>
  <c r="F43" i="5"/>
  <c r="E43" i="5"/>
  <c r="D43" i="5"/>
  <c r="C43" i="5"/>
  <c r="K42" i="5"/>
  <c r="I42" i="5"/>
  <c r="G42" i="5"/>
  <c r="L42" i="5" s="1"/>
  <c r="F42" i="5"/>
  <c r="E42" i="5"/>
  <c r="D42" i="5"/>
  <c r="C42" i="5"/>
  <c r="K41" i="5"/>
  <c r="I41" i="5"/>
  <c r="G41" i="5"/>
  <c r="L41" i="5" s="1"/>
  <c r="F41" i="5"/>
  <c r="E41" i="5"/>
  <c r="D41" i="5"/>
  <c r="C41" i="5"/>
  <c r="K40" i="5"/>
  <c r="I40" i="5"/>
  <c r="G40" i="5"/>
  <c r="L40" i="5" s="1"/>
  <c r="F40" i="5"/>
  <c r="E40" i="5"/>
  <c r="D40" i="5"/>
  <c r="C40" i="5"/>
  <c r="K39" i="5"/>
  <c r="I39" i="5"/>
  <c r="G39" i="5"/>
  <c r="L39" i="5" s="1"/>
  <c r="F39" i="5"/>
  <c r="E39" i="5"/>
  <c r="D39" i="5"/>
  <c r="C39" i="5"/>
  <c r="K38" i="5"/>
  <c r="I38" i="5"/>
  <c r="G38" i="5"/>
  <c r="F38" i="5"/>
  <c r="E38" i="5"/>
  <c r="D38" i="5"/>
  <c r="C38" i="5"/>
  <c r="K37" i="5"/>
  <c r="I37" i="5"/>
  <c r="G37" i="5"/>
  <c r="L37" i="5" s="1"/>
  <c r="F37" i="5"/>
  <c r="E37" i="5"/>
  <c r="D37" i="5"/>
  <c r="C37" i="5"/>
  <c r="K36" i="5"/>
  <c r="I36" i="5"/>
  <c r="G36" i="5"/>
  <c r="L36" i="5" s="1"/>
  <c r="F36" i="5"/>
  <c r="E36" i="5"/>
  <c r="D36" i="5"/>
  <c r="C36" i="5"/>
  <c r="K35" i="5"/>
  <c r="I35" i="5"/>
  <c r="G35" i="5"/>
  <c r="L35" i="5" s="1"/>
  <c r="F35" i="5"/>
  <c r="E35" i="5"/>
  <c r="D35" i="5"/>
  <c r="C35" i="5"/>
  <c r="K34" i="5"/>
  <c r="I34" i="5"/>
  <c r="G34" i="5"/>
  <c r="L34" i="5" s="1"/>
  <c r="F34" i="5"/>
  <c r="E34" i="5"/>
  <c r="D34" i="5"/>
  <c r="C34" i="5"/>
  <c r="K33" i="5"/>
  <c r="I33" i="5"/>
  <c r="G33" i="5"/>
  <c r="L33" i="5" s="1"/>
  <c r="F33" i="5"/>
  <c r="E33" i="5"/>
  <c r="D33" i="5"/>
  <c r="C33" i="5"/>
  <c r="K32" i="5"/>
  <c r="I32" i="5"/>
  <c r="G32" i="5"/>
  <c r="L32" i="5" s="1"/>
  <c r="M32" i="5" s="1"/>
  <c r="F32" i="5"/>
  <c r="E32" i="5"/>
  <c r="D32" i="5"/>
  <c r="C32" i="5"/>
  <c r="K31" i="5"/>
  <c r="I31" i="5"/>
  <c r="G31" i="5"/>
  <c r="F31" i="5"/>
  <c r="E31" i="5"/>
  <c r="D31" i="5"/>
  <c r="C31" i="5"/>
  <c r="K30" i="5"/>
  <c r="I30" i="5"/>
  <c r="G30" i="5"/>
  <c r="L30" i="5" s="1"/>
  <c r="F30" i="5"/>
  <c r="E30" i="5"/>
  <c r="D30" i="5"/>
  <c r="C30" i="5"/>
  <c r="K29" i="5"/>
  <c r="I29" i="5"/>
  <c r="G29" i="5"/>
  <c r="L29" i="5" s="1"/>
  <c r="F29" i="5"/>
  <c r="E29" i="5"/>
  <c r="D29" i="5"/>
  <c r="C29" i="5"/>
  <c r="K28" i="5"/>
  <c r="I28" i="5"/>
  <c r="G28" i="5"/>
  <c r="L28" i="5" s="1"/>
  <c r="F28" i="5"/>
  <c r="E28" i="5"/>
  <c r="D28" i="5"/>
  <c r="C28" i="5"/>
  <c r="K27" i="5"/>
  <c r="I27" i="5"/>
  <c r="G27" i="5"/>
  <c r="L27" i="5" s="1"/>
  <c r="F27" i="5"/>
  <c r="E27" i="5"/>
  <c r="D27" i="5"/>
  <c r="C27" i="5"/>
  <c r="K26" i="5"/>
  <c r="I26" i="5"/>
  <c r="G26" i="5"/>
  <c r="L26" i="5" s="1"/>
  <c r="F26" i="5"/>
  <c r="E26" i="5"/>
  <c r="D26" i="5"/>
  <c r="C26" i="5"/>
  <c r="K25" i="5"/>
  <c r="I25" i="5"/>
  <c r="G25" i="5"/>
  <c r="L25" i="5" s="1"/>
  <c r="F25" i="5"/>
  <c r="E25" i="5"/>
  <c r="D25" i="5"/>
  <c r="C25" i="5"/>
  <c r="K24" i="5"/>
  <c r="I24" i="5"/>
  <c r="G24" i="5"/>
  <c r="F24" i="5"/>
  <c r="E24" i="5"/>
  <c r="D24" i="5"/>
  <c r="C24" i="5"/>
  <c r="K23" i="5"/>
  <c r="I23" i="5"/>
  <c r="G23" i="5"/>
  <c r="L23" i="5" s="1"/>
  <c r="F23" i="5"/>
  <c r="E23" i="5"/>
  <c r="D23" i="5"/>
  <c r="C23" i="5"/>
  <c r="K22" i="5"/>
  <c r="I22" i="5"/>
  <c r="G22" i="5"/>
  <c r="L22" i="5" s="1"/>
  <c r="F22" i="5"/>
  <c r="E22" i="5"/>
  <c r="D22" i="5"/>
  <c r="C22" i="5"/>
  <c r="K21" i="5"/>
  <c r="I21" i="5"/>
  <c r="G21" i="5"/>
  <c r="L21" i="5" s="1"/>
  <c r="F21" i="5"/>
  <c r="E21" i="5"/>
  <c r="D21" i="5"/>
  <c r="C21" i="5"/>
  <c r="K20" i="5"/>
  <c r="I20" i="5"/>
  <c r="G20" i="5"/>
  <c r="L20" i="5" s="1"/>
  <c r="F20" i="5"/>
  <c r="E20" i="5"/>
  <c r="D20" i="5"/>
  <c r="C20" i="5"/>
  <c r="K19" i="5"/>
  <c r="I19" i="5"/>
  <c r="G19" i="5"/>
  <c r="L19" i="5" s="1"/>
  <c r="N19" i="5" s="1"/>
  <c r="F19" i="5"/>
  <c r="E19" i="5"/>
  <c r="D19" i="5"/>
  <c r="C19" i="5"/>
  <c r="K18" i="5"/>
  <c r="I18" i="5"/>
  <c r="G18" i="5"/>
  <c r="L18" i="5" s="1"/>
  <c r="M18" i="5" s="1"/>
  <c r="F18" i="5"/>
  <c r="E18" i="5"/>
  <c r="D18" i="5"/>
  <c r="C18" i="5"/>
  <c r="K17" i="5"/>
  <c r="I17" i="5"/>
  <c r="G17" i="5"/>
  <c r="F17" i="5"/>
  <c r="E17" i="5"/>
  <c r="D17" i="5"/>
  <c r="C17" i="5"/>
  <c r="K16" i="5"/>
  <c r="I16" i="5"/>
  <c r="G16" i="5"/>
  <c r="L16" i="5" s="1"/>
  <c r="F16" i="5"/>
  <c r="E16" i="5"/>
  <c r="D16" i="5"/>
  <c r="C16" i="5"/>
  <c r="K15" i="5"/>
  <c r="I15" i="5"/>
  <c r="G15" i="5"/>
  <c r="L15" i="5" s="1"/>
  <c r="F15" i="5"/>
  <c r="E15" i="5"/>
  <c r="D15" i="5"/>
  <c r="C15" i="5"/>
  <c r="K14" i="5"/>
  <c r="I14" i="5"/>
  <c r="G14" i="5"/>
  <c r="L14" i="5" s="1"/>
  <c r="F14" i="5"/>
  <c r="E14" i="5"/>
  <c r="D14" i="5"/>
  <c r="C14" i="5"/>
  <c r="K13" i="5"/>
  <c r="I13" i="5"/>
  <c r="G13" i="5"/>
  <c r="L13" i="5" s="1"/>
  <c r="F13" i="5"/>
  <c r="E13" i="5"/>
  <c r="D13" i="5"/>
  <c r="C13" i="5"/>
  <c r="K12" i="5"/>
  <c r="I12" i="5"/>
  <c r="G12" i="5"/>
  <c r="F12" i="5"/>
  <c r="E12" i="5"/>
  <c r="D12" i="5"/>
  <c r="C12" i="5"/>
  <c r="K11" i="5"/>
  <c r="I11" i="5"/>
  <c r="G11" i="5"/>
  <c r="L11" i="5" s="1"/>
  <c r="N11" i="5" s="1"/>
  <c r="F11" i="5"/>
  <c r="E11" i="5"/>
  <c r="D11" i="5"/>
  <c r="C11" i="5"/>
  <c r="K10" i="5"/>
  <c r="I10" i="5"/>
  <c r="G10" i="5"/>
  <c r="F10" i="5"/>
  <c r="E10" i="5"/>
  <c r="D10" i="5"/>
  <c r="C10" i="5"/>
  <c r="K9" i="5"/>
  <c r="K44" i="5" s="1"/>
  <c r="I9" i="5"/>
  <c r="I44" i="5" s="1"/>
  <c r="G9" i="5"/>
  <c r="F9" i="5"/>
  <c r="E9" i="5"/>
  <c r="D9" i="5"/>
  <c r="C9" i="5"/>
  <c r="B3" i="5"/>
  <c r="H6" i="5" s="1"/>
  <c r="J44" i="4"/>
  <c r="I44" i="4"/>
  <c r="H44" i="4"/>
  <c r="G44" i="4"/>
  <c r="F44" i="4"/>
  <c r="D40" i="4"/>
  <c r="D39" i="4"/>
  <c r="D38" i="4"/>
  <c r="D37" i="4"/>
  <c r="D36" i="4"/>
  <c r="D35" i="4"/>
  <c r="D26" i="4"/>
  <c r="D25" i="4"/>
  <c r="D24" i="4"/>
  <c r="D23" i="4"/>
  <c r="D22" i="4"/>
  <c r="D21" i="4"/>
  <c r="D12" i="4"/>
  <c r="D11" i="4"/>
  <c r="D10" i="4"/>
  <c r="D9" i="4"/>
  <c r="D8" i="4"/>
  <c r="B3" i="4"/>
  <c r="D34" i="4" s="1"/>
  <c r="G2" i="4"/>
  <c r="J44" i="3"/>
  <c r="I44" i="3"/>
  <c r="H44" i="3"/>
  <c r="G44" i="3"/>
  <c r="F44" i="3"/>
  <c r="D38" i="3"/>
  <c r="D37" i="3"/>
  <c r="D36" i="3"/>
  <c r="D35" i="3"/>
  <c r="D24" i="3"/>
  <c r="D23" i="3"/>
  <c r="D22" i="3"/>
  <c r="D21" i="3"/>
  <c r="D10" i="3"/>
  <c r="D9" i="3"/>
  <c r="D8" i="3"/>
  <c r="B3" i="3"/>
  <c r="D34" i="3" s="1"/>
  <c r="G2" i="3"/>
  <c r="J44" i="1"/>
  <c r="I44" i="1"/>
  <c r="H44" i="1"/>
  <c r="G44" i="1"/>
  <c r="F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L10" i="5" l="1"/>
  <c r="L12" i="5"/>
  <c r="M33" i="5"/>
  <c r="N33" i="5"/>
  <c r="N26" i="5"/>
  <c r="M26" i="5"/>
  <c r="L24" i="5"/>
  <c r="G44" i="5"/>
  <c r="L17" i="5"/>
  <c r="M17" i="5" s="1"/>
  <c r="C44" i="5"/>
  <c r="E44" i="5"/>
  <c r="F44" i="5"/>
  <c r="D44" i="5"/>
  <c r="L31" i="5"/>
  <c r="M31" i="5" s="1"/>
  <c r="M19" i="5"/>
  <c r="L38" i="5"/>
  <c r="C58" i="11" a="1"/>
  <c r="C58" i="11" s="1"/>
  <c r="E58" i="11" a="1"/>
  <c r="E58" i="11" s="1"/>
  <c r="D58" i="11" a="1"/>
  <c r="D58" i="11" s="1"/>
  <c r="E63" i="11" a="1"/>
  <c r="E63" i="11" s="1"/>
  <c r="D63" i="11" a="1"/>
  <c r="D63" i="11" s="1"/>
  <c r="D67" i="11" a="1"/>
  <c r="D67" i="11" s="1"/>
  <c r="C67" i="11" a="1"/>
  <c r="C67" i="11" s="1"/>
  <c r="E67" i="11" a="1"/>
  <c r="E67" i="11" s="1"/>
  <c r="C60" i="11" a="1"/>
  <c r="C60" i="11" s="1"/>
  <c r="E60" i="11" a="1"/>
  <c r="E60" i="11" s="1"/>
  <c r="D60" i="11" a="1"/>
  <c r="D60" i="11" s="1"/>
  <c r="C63" i="11" a="1"/>
  <c r="C63" i="11" s="1"/>
  <c r="F63" i="11" s="1"/>
  <c r="C53" i="11" a="1"/>
  <c r="C53" i="11" s="1"/>
  <c r="F53" i="11" s="1"/>
  <c r="C69" i="11" a="1"/>
  <c r="C69" i="11" s="1"/>
  <c r="C59" i="11" a="1"/>
  <c r="C59" i="11" s="1"/>
  <c r="C62" i="11" a="1"/>
  <c r="C62" i="11" s="1"/>
  <c r="C71" i="11" a="1"/>
  <c r="C71" i="11" s="1"/>
  <c r="C72" i="11" a="1"/>
  <c r="C72" i="11" s="1"/>
  <c r="C56" i="11" a="1"/>
  <c r="C56" i="11" s="1"/>
  <c r="C70" i="11" a="1"/>
  <c r="C70" i="11" s="1"/>
  <c r="D71" i="11" a="1"/>
  <c r="D71" i="11" s="1"/>
  <c r="C66" i="11" a="1"/>
  <c r="C66" i="11" s="1"/>
  <c r="D66" i="11" a="1"/>
  <c r="D66" i="11" s="1"/>
  <c r="E66" i="11" a="1"/>
  <c r="E66" i="11" s="1"/>
  <c r="E61" i="11" a="1"/>
  <c r="E61" i="11" s="1"/>
  <c r="D61" i="11" a="1"/>
  <c r="D61" i="11" s="1"/>
  <c r="C61" i="11" a="1"/>
  <c r="C61" i="11" s="1"/>
  <c r="F61" i="11" s="1"/>
  <c r="C52" i="11" a="1"/>
  <c r="C52" i="11" s="1"/>
  <c r="F52" i="11" s="1"/>
  <c r="D52" i="11" a="1"/>
  <c r="D52" i="11" s="1"/>
  <c r="E52" i="11" a="1"/>
  <c r="E52" i="11" s="1"/>
  <c r="D70" i="11" a="1"/>
  <c r="D70" i="11" s="1"/>
  <c r="D57" i="11" a="1"/>
  <c r="D57" i="11" s="1"/>
  <c r="E57" i="11" a="1"/>
  <c r="E57" i="11" s="1"/>
  <c r="C57" i="11" a="1"/>
  <c r="C57" i="11" s="1"/>
  <c r="F57" i="11" s="1"/>
  <c r="C68" i="11" a="1"/>
  <c r="C68" i="11" s="1"/>
  <c r="D68" i="11" a="1"/>
  <c r="D68" i="11" s="1"/>
  <c r="E68" i="11" a="1"/>
  <c r="E68" i="11" s="1"/>
  <c r="D59" i="11" a="1"/>
  <c r="D59" i="11" s="1"/>
  <c r="C64" i="11" a="1"/>
  <c r="C64" i="11" s="1"/>
  <c r="D64" i="11" a="1"/>
  <c r="D64" i="11" s="1"/>
  <c r="E64" i="11" a="1"/>
  <c r="E64" i="11" s="1"/>
  <c r="E62" i="11" a="1"/>
  <c r="E62" i="11" s="1"/>
  <c r="D65" i="11" a="1"/>
  <c r="D65" i="11" s="1"/>
  <c r="E65" i="11" a="1"/>
  <c r="E65" i="11" s="1"/>
  <c r="C65" i="11" a="1"/>
  <c r="C65" i="11" s="1"/>
  <c r="F65" i="11" s="1"/>
  <c r="D55" i="11" a="1"/>
  <c r="D55" i="11" s="1"/>
  <c r="E55" i="11" a="1"/>
  <c r="E55" i="11" s="1"/>
  <c r="C55" i="11" a="1"/>
  <c r="C55" i="11" s="1"/>
  <c r="F55" i="11" s="1"/>
  <c r="E69" i="11" a="1"/>
  <c r="E69" i="11" s="1"/>
  <c r="D53" i="11" a="1"/>
  <c r="D53" i="11" s="1"/>
  <c r="E72" i="11" a="1"/>
  <c r="E72" i="11" s="1"/>
  <c r="J6" i="11" a="1"/>
  <c r="J6" i="11" s="1"/>
  <c r="D51" i="11" a="1"/>
  <c r="D51" i="11" s="1"/>
  <c r="F75" i="11"/>
  <c r="E51" i="11" a="1"/>
  <c r="E51" i="11" s="1"/>
  <c r="C51" i="11" a="1"/>
  <c r="C51" i="11" s="1"/>
  <c r="G33" i="11"/>
  <c r="D62" i="11" a="1"/>
  <c r="D62" i="11" s="1"/>
  <c r="D72" i="11" a="1"/>
  <c r="D72" i="11" s="1"/>
  <c r="D56" i="11" a="1"/>
  <c r="D56" i="11" s="1"/>
  <c r="D54" i="11" a="1"/>
  <c r="D54" i="11" s="1"/>
  <c r="C54" i="11" a="1"/>
  <c r="C54" i="11" s="1"/>
  <c r="F54" i="11" s="1"/>
  <c r="E54" i="11" a="1"/>
  <c r="E54" i="11" s="1"/>
  <c r="E56" i="11" a="1"/>
  <c r="E56" i="11" s="1"/>
  <c r="E70" i="11" a="1"/>
  <c r="E70" i="11" s="1"/>
  <c r="C43" i="11"/>
  <c r="D69" i="11" a="1"/>
  <c r="D69" i="11" s="1"/>
  <c r="E59" i="11" a="1"/>
  <c r="E59" i="11" s="1"/>
  <c r="E71" i="11" a="1"/>
  <c r="E71" i="11" s="1"/>
  <c r="E53" i="11" a="1"/>
  <c r="E53" i="11" s="1"/>
  <c r="N42" i="10"/>
  <c r="M42" i="10"/>
  <c r="N23" i="10"/>
  <c r="M23" i="10"/>
  <c r="N38" i="10"/>
  <c r="M38" i="10"/>
  <c r="N28" i="10"/>
  <c r="M28" i="10"/>
  <c r="M15" i="10"/>
  <c r="N15" i="10"/>
  <c r="N30" i="10"/>
  <c r="M30" i="10"/>
  <c r="L41" i="10"/>
  <c r="L20" i="10"/>
  <c r="N24" i="10"/>
  <c r="M24" i="10"/>
  <c r="N14" i="10"/>
  <c r="M14" i="10"/>
  <c r="M16" i="10"/>
  <c r="N16" i="10"/>
  <c r="N31" i="10"/>
  <c r="M31" i="10"/>
  <c r="N10" i="10"/>
  <c r="M10" i="10"/>
  <c r="N21" i="10"/>
  <c r="M21" i="10"/>
  <c r="M9" i="10"/>
  <c r="N9" i="10"/>
  <c r="L13" i="10"/>
  <c r="N17" i="10"/>
  <c r="M17" i="10"/>
  <c r="N37" i="10"/>
  <c r="M37" i="10"/>
  <c r="N22" i="10"/>
  <c r="M22" i="10"/>
  <c r="N35" i="10"/>
  <c r="M35" i="10"/>
  <c r="G44" i="10"/>
  <c r="N11" i="10"/>
  <c r="M36" i="10"/>
  <c r="M43" i="10"/>
  <c r="N29" i="10"/>
  <c r="N36" i="10"/>
  <c r="I41" i="10"/>
  <c r="N43" i="10"/>
  <c r="K13" i="10"/>
  <c r="K44" i="10" s="1"/>
  <c r="K20" i="10"/>
  <c r="K27" i="10"/>
  <c r="L27" i="10" s="1"/>
  <c r="K34" i="10"/>
  <c r="L34" i="10" s="1"/>
  <c r="K41" i="10"/>
  <c r="M29" i="10"/>
  <c r="I12" i="10"/>
  <c r="L12" i="10" s="1"/>
  <c r="I19" i="10"/>
  <c r="L19" i="10" s="1"/>
  <c r="I26" i="10"/>
  <c r="L26" i="10" s="1"/>
  <c r="I33" i="10"/>
  <c r="L33" i="10" s="1"/>
  <c r="I40" i="10"/>
  <c r="L40" i="10" s="1"/>
  <c r="K40" i="10"/>
  <c r="I18" i="10"/>
  <c r="I25" i="10"/>
  <c r="I32" i="10"/>
  <c r="I39" i="10"/>
  <c r="L39" i="10" s="1"/>
  <c r="K18" i="10"/>
  <c r="K25" i="10"/>
  <c r="K32" i="10"/>
  <c r="M58" i="9" a="1"/>
  <c r="M58" i="9" s="1"/>
  <c r="K58" i="9" a="1"/>
  <c r="K58" i="9" s="1"/>
  <c r="J58" i="9" a="1"/>
  <c r="J58" i="9" s="1"/>
  <c r="C58" i="9" a="1"/>
  <c r="C58" i="9" s="1"/>
  <c r="L58" i="9" a="1"/>
  <c r="L58" i="9" s="1"/>
  <c r="E58" i="9" a="1"/>
  <c r="E58" i="9" s="1"/>
  <c r="M59" i="9" a="1"/>
  <c r="M59" i="9" s="1"/>
  <c r="N59" i="9" a="1"/>
  <c r="N59" i="9" s="1"/>
  <c r="E59" i="9" a="1"/>
  <c r="E59" i="9" s="1"/>
  <c r="J59" i="9" a="1"/>
  <c r="J59" i="9" s="1"/>
  <c r="C59" i="9" a="1"/>
  <c r="C59" i="9" s="1"/>
  <c r="O56" i="9" a="1"/>
  <c r="O56" i="9" s="1"/>
  <c r="M56" i="9" a="1"/>
  <c r="M56" i="9" s="1"/>
  <c r="I56" i="9" a="1"/>
  <c r="I56" i="9" s="1"/>
  <c r="K56" i="9" a="1"/>
  <c r="K56" i="9" s="1"/>
  <c r="J56" i="9" a="1"/>
  <c r="J56" i="9" s="1"/>
  <c r="N54" i="9" a="1"/>
  <c r="N54" i="9" s="1"/>
  <c r="G54" i="9" a="1"/>
  <c r="G54" i="9" s="1"/>
  <c r="K54" i="9" a="1"/>
  <c r="K54" i="9" s="1"/>
  <c r="H54" i="9" a="1"/>
  <c r="H54" i="9" s="1"/>
  <c r="O54" i="9" a="1"/>
  <c r="O54" i="9" s="1"/>
  <c r="K55" i="9" a="1"/>
  <c r="K55" i="9" s="1"/>
  <c r="N55" i="9" a="1"/>
  <c r="N55" i="9" s="1"/>
  <c r="G55" i="9" a="1"/>
  <c r="G55" i="9" s="1"/>
  <c r="L55" i="9" a="1"/>
  <c r="L55" i="9" s="1"/>
  <c r="O55" i="9" a="1"/>
  <c r="O55" i="9" s="1"/>
  <c r="G60" i="9" a="1"/>
  <c r="G60" i="9" s="1"/>
  <c r="L53" i="9" a="1"/>
  <c r="L53" i="9" s="1"/>
  <c r="C53" i="9" a="1"/>
  <c r="C53" i="9" s="1"/>
  <c r="M53" i="9" a="1"/>
  <c r="M53" i="9" s="1"/>
  <c r="O53" i="9" a="1"/>
  <c r="O53" i="9" s="1"/>
  <c r="N53" i="9" a="1"/>
  <c r="N53" i="9" s="1"/>
  <c r="G53" i="9" a="1"/>
  <c r="G53" i="9" s="1"/>
  <c r="J60" i="9" a="1"/>
  <c r="J60" i="9" s="1"/>
  <c r="L51" i="9" a="1"/>
  <c r="L51" i="9" s="1"/>
  <c r="E51" i="9" a="1"/>
  <c r="E51" i="9" s="1"/>
  <c r="K51" i="9" a="1"/>
  <c r="K51" i="9" s="1"/>
  <c r="O51" i="9" a="1"/>
  <c r="O51" i="9" s="1"/>
  <c r="M51" i="9" a="1"/>
  <c r="M51" i="9" s="1"/>
  <c r="F51" i="9" a="1"/>
  <c r="F51" i="9" s="1"/>
  <c r="G51" i="9" a="1"/>
  <c r="G51" i="9" s="1"/>
  <c r="E61" i="9" a="1"/>
  <c r="E61" i="9" s="1"/>
  <c r="E60" i="9" a="1"/>
  <c r="E60" i="9" s="1"/>
  <c r="D60" i="9" a="1"/>
  <c r="D60" i="9" s="1"/>
  <c r="L60" i="9" a="1"/>
  <c r="L60" i="9" s="1"/>
  <c r="C62" i="9" a="1"/>
  <c r="C62" i="9" s="1"/>
  <c r="F62" i="9" a="1"/>
  <c r="F62" i="9" s="1"/>
  <c r="O62" i="9" a="1"/>
  <c r="O62" i="9" s="1"/>
  <c r="H62" i="9" a="1"/>
  <c r="H62" i="9" s="1"/>
  <c r="M62" i="9" a="1"/>
  <c r="M62" i="9" s="1"/>
  <c r="L62" i="9" a="1"/>
  <c r="L62" i="9" s="1"/>
  <c r="N62" i="9" a="1"/>
  <c r="N62" i="9" s="1"/>
  <c r="G62" i="9" a="1"/>
  <c r="G62" i="9" s="1"/>
  <c r="E62" i="9" a="1"/>
  <c r="E62" i="9" s="1"/>
  <c r="M52" i="9" a="1"/>
  <c r="M52" i="9" s="1"/>
  <c r="D52" i="9" a="1"/>
  <c r="D52" i="9" s="1"/>
  <c r="L52" i="9" a="1"/>
  <c r="L52" i="9" s="1"/>
  <c r="E52" i="9" a="1"/>
  <c r="E52" i="9" s="1"/>
  <c r="K52" i="9" a="1"/>
  <c r="K52" i="9" s="1"/>
  <c r="G52" i="9" a="1"/>
  <c r="G52" i="9" s="1"/>
  <c r="I52" i="9" a="1"/>
  <c r="I52" i="9" s="1"/>
  <c r="H52" i="9" a="1"/>
  <c r="H52" i="9" s="1"/>
  <c r="C52" i="9" a="1"/>
  <c r="C52" i="9" s="1"/>
  <c r="N52" i="9" a="1"/>
  <c r="N52" i="9" s="1"/>
  <c r="O52" i="9" a="1"/>
  <c r="O52" i="9" s="1"/>
  <c r="O57" i="9" a="1"/>
  <c r="O57" i="9" s="1"/>
  <c r="H57" i="9" a="1"/>
  <c r="H57" i="9" s="1"/>
  <c r="G57" i="9" a="1"/>
  <c r="G57" i="9" s="1"/>
  <c r="M57" i="9" a="1"/>
  <c r="M57" i="9" s="1"/>
  <c r="F57" i="9" a="1"/>
  <c r="F57" i="9" s="1"/>
  <c r="L57" i="9" a="1"/>
  <c r="L57" i="9" s="1"/>
  <c r="C57" i="9" a="1"/>
  <c r="C57" i="9" s="1"/>
  <c r="J57" i="9" a="1"/>
  <c r="J57" i="9" s="1"/>
  <c r="K57" i="9" a="1"/>
  <c r="K57" i="9" s="1"/>
  <c r="D57" i="9" a="1"/>
  <c r="D57" i="9" s="1"/>
  <c r="I57" i="9" a="1"/>
  <c r="I57" i="9" s="1"/>
  <c r="E57" i="9" a="1"/>
  <c r="E57" i="9" s="1"/>
  <c r="M60" i="9" a="1"/>
  <c r="M60" i="9" s="1"/>
  <c r="D61" i="9" a="1"/>
  <c r="D61" i="9" s="1"/>
  <c r="K61" i="9" a="1"/>
  <c r="K61" i="9" s="1"/>
  <c r="G8" i="9"/>
  <c r="I58" i="9" s="1" a="1"/>
  <c r="I58" i="9" s="1"/>
  <c r="F61" i="9" a="1"/>
  <c r="F61" i="9" s="1"/>
  <c r="M61" i="9" a="1"/>
  <c r="M61" i="9" s="1"/>
  <c r="L61" i="9" a="1"/>
  <c r="L61" i="9" s="1"/>
  <c r="G61" i="9" a="1"/>
  <c r="G61" i="9" s="1"/>
  <c r="H61" i="9" a="1"/>
  <c r="H61" i="9" s="1"/>
  <c r="O61" i="9" a="1"/>
  <c r="O61" i="9" s="1"/>
  <c r="N61" i="9" a="1"/>
  <c r="N61" i="9" s="1"/>
  <c r="I61" i="9" a="1"/>
  <c r="I61" i="9" s="1"/>
  <c r="H60" i="9" a="1"/>
  <c r="H60" i="9" s="1"/>
  <c r="O60" i="9" a="1"/>
  <c r="O60" i="9" s="1"/>
  <c r="I60" i="9" a="1"/>
  <c r="I60" i="9" s="1"/>
  <c r="C61" i="9" a="1"/>
  <c r="C61" i="9" s="1"/>
  <c r="C60" i="9" a="1"/>
  <c r="C60" i="9" s="1"/>
  <c r="M10" i="8"/>
  <c r="N10" i="8"/>
  <c r="N17" i="8"/>
  <c r="M17" i="8"/>
  <c r="N31" i="8"/>
  <c r="M31" i="8"/>
  <c r="N22" i="8"/>
  <c r="M22" i="8"/>
  <c r="N29" i="8"/>
  <c r="M29" i="8"/>
  <c r="N36" i="8"/>
  <c r="M36" i="8"/>
  <c r="M38" i="8"/>
  <c r="N38" i="8"/>
  <c r="N43" i="8"/>
  <c r="M43" i="8"/>
  <c r="N15" i="8"/>
  <c r="M15" i="8"/>
  <c r="L28" i="8"/>
  <c r="L42" i="8"/>
  <c r="M24" i="8"/>
  <c r="N24" i="8"/>
  <c r="L13" i="8"/>
  <c r="G44" i="8"/>
  <c r="I9" i="8"/>
  <c r="I16" i="8"/>
  <c r="L16" i="8" s="1"/>
  <c r="I23" i="8"/>
  <c r="L23" i="8" s="1"/>
  <c r="I30" i="8"/>
  <c r="L30" i="8" s="1"/>
  <c r="I37" i="8"/>
  <c r="L37" i="8" s="1"/>
  <c r="K14" i="8"/>
  <c r="L14" i="8" s="1"/>
  <c r="K21" i="8"/>
  <c r="L21" i="8" s="1"/>
  <c r="K28" i="8"/>
  <c r="K35" i="8"/>
  <c r="L35" i="8" s="1"/>
  <c r="K42" i="8"/>
  <c r="K13" i="8"/>
  <c r="K20" i="8"/>
  <c r="L20" i="8" s="1"/>
  <c r="K27" i="8"/>
  <c r="L27" i="8" s="1"/>
  <c r="K34" i="8"/>
  <c r="L34" i="8" s="1"/>
  <c r="K41" i="8"/>
  <c r="L41" i="8" s="1"/>
  <c r="I12" i="8"/>
  <c r="L12" i="8" s="1"/>
  <c r="I19" i="8"/>
  <c r="L19" i="8" s="1"/>
  <c r="I26" i="8"/>
  <c r="L26" i="8" s="1"/>
  <c r="I33" i="8"/>
  <c r="L33" i="8" s="1"/>
  <c r="I40" i="8"/>
  <c r="L40" i="8" s="1"/>
  <c r="K12" i="8"/>
  <c r="K19" i="8"/>
  <c r="K26" i="8"/>
  <c r="K33" i="8"/>
  <c r="K40" i="8"/>
  <c r="I11" i="8"/>
  <c r="I18" i="8"/>
  <c r="I25" i="8"/>
  <c r="I32" i="8"/>
  <c r="I39" i="8"/>
  <c r="L39" i="8" s="1"/>
  <c r="K11" i="8"/>
  <c r="K44" i="8" s="1"/>
  <c r="K18" i="8"/>
  <c r="K25" i="8"/>
  <c r="K32" i="8"/>
  <c r="M27" i="6"/>
  <c r="M10" i="6"/>
  <c r="M12" i="6"/>
  <c r="M14" i="6"/>
  <c r="M16" i="6"/>
  <c r="M18" i="6"/>
  <c r="M22" i="6"/>
  <c r="G44" i="6"/>
  <c r="O43" i="6"/>
  <c r="N43" i="6"/>
  <c r="E44" i="6"/>
  <c r="F44" i="6"/>
  <c r="C44" i="6"/>
  <c r="I9" i="6"/>
  <c r="I44" i="6" s="1"/>
  <c r="I10" i="6"/>
  <c r="I11" i="6"/>
  <c r="M11" i="6" s="1"/>
  <c r="I12" i="6"/>
  <c r="I13" i="6"/>
  <c r="M13" i="6" s="1"/>
  <c r="I14" i="6"/>
  <c r="I15" i="6"/>
  <c r="M15" i="6" s="1"/>
  <c r="I16" i="6"/>
  <c r="I17" i="6"/>
  <c r="M17" i="6" s="1"/>
  <c r="I18" i="6"/>
  <c r="I19" i="6"/>
  <c r="M19" i="6" s="1"/>
  <c r="I20" i="6"/>
  <c r="M20" i="6" s="1"/>
  <c r="I21" i="6"/>
  <c r="M21" i="6" s="1"/>
  <c r="I22" i="6"/>
  <c r="I23" i="6"/>
  <c r="M23" i="6" s="1"/>
  <c r="I24" i="6"/>
  <c r="M24" i="6" s="1"/>
  <c r="I25" i="6"/>
  <c r="M25" i="6" s="1"/>
  <c r="I26" i="6"/>
  <c r="M26" i="6" s="1"/>
  <c r="I27" i="6"/>
  <c r="I28" i="6"/>
  <c r="M28" i="6" s="1"/>
  <c r="I29" i="6"/>
  <c r="M29" i="6" s="1"/>
  <c r="I30" i="6"/>
  <c r="M30" i="6" s="1"/>
  <c r="I31" i="6"/>
  <c r="M31" i="6" s="1"/>
  <c r="I32" i="6"/>
  <c r="M32" i="6" s="1"/>
  <c r="I33" i="6"/>
  <c r="M33" i="6" s="1"/>
  <c r="I34" i="6"/>
  <c r="M34" i="6" s="1"/>
  <c r="I35" i="6"/>
  <c r="M35" i="6" s="1"/>
  <c r="I36" i="6"/>
  <c r="M36" i="6" s="1"/>
  <c r="I37" i="6"/>
  <c r="M37" i="6" s="1"/>
  <c r="I38" i="6"/>
  <c r="M38" i="6" s="1"/>
  <c r="I39" i="6"/>
  <c r="M39" i="6" s="1"/>
  <c r="I40" i="6"/>
  <c r="M40" i="6" s="1"/>
  <c r="I41" i="6"/>
  <c r="M41" i="6" s="1"/>
  <c r="I42" i="6"/>
  <c r="M42" i="6" s="1"/>
  <c r="N23" i="5"/>
  <c r="M23" i="5"/>
  <c r="N34" i="5"/>
  <c r="M34" i="5"/>
  <c r="N16" i="5"/>
  <c r="M16" i="5"/>
  <c r="N27" i="5"/>
  <c r="M27" i="5"/>
  <c r="M12" i="5"/>
  <c r="N12" i="5"/>
  <c r="M22" i="5"/>
  <c r="N22" i="5"/>
  <c r="N24" i="5"/>
  <c r="M24" i="5"/>
  <c r="N41" i="5"/>
  <c r="M41" i="5"/>
  <c r="M43" i="5"/>
  <c r="N43" i="5"/>
  <c r="M40" i="5"/>
  <c r="N40" i="5"/>
  <c r="N10" i="5"/>
  <c r="M10" i="5"/>
  <c r="M36" i="5"/>
  <c r="N36" i="5"/>
  <c r="N20" i="5"/>
  <c r="M20" i="5"/>
  <c r="N21" i="5"/>
  <c r="M21" i="5"/>
  <c r="N38" i="5"/>
  <c r="M38" i="5"/>
  <c r="N42" i="5"/>
  <c r="M42" i="5"/>
  <c r="N14" i="5"/>
  <c r="M14" i="5"/>
  <c r="M29" i="5"/>
  <c r="N29" i="5"/>
  <c r="N35" i="5"/>
  <c r="M35" i="5"/>
  <c r="N37" i="5"/>
  <c r="M37" i="5"/>
  <c r="N13" i="5"/>
  <c r="M13" i="5"/>
  <c r="M15" i="5"/>
  <c r="N15" i="5"/>
  <c r="N28" i="5"/>
  <c r="M28" i="5"/>
  <c r="N30" i="5"/>
  <c r="M30" i="5"/>
  <c r="N32" i="5"/>
  <c r="L9" i="5"/>
  <c r="N18" i="5"/>
  <c r="N25" i="5"/>
  <c r="M25" i="5"/>
  <c r="M39" i="5"/>
  <c r="N39" i="5"/>
  <c r="M11" i="5"/>
  <c r="D41" i="4"/>
  <c r="D42" i="4"/>
  <c r="D43" i="4"/>
  <c r="D30" i="4"/>
  <c r="D17" i="4"/>
  <c r="D31" i="4"/>
  <c r="D13" i="4"/>
  <c r="D28" i="4"/>
  <c r="D29" i="4"/>
  <c r="D16" i="4"/>
  <c r="D18" i="4"/>
  <c r="D32" i="4"/>
  <c r="D27" i="4"/>
  <c r="D14" i="4"/>
  <c r="D15" i="4"/>
  <c r="D19" i="4"/>
  <c r="D33" i="4"/>
  <c r="D20" i="4"/>
  <c r="D42" i="3"/>
  <c r="D11" i="3"/>
  <c r="D40" i="3"/>
  <c r="D27" i="3"/>
  <c r="D29" i="3"/>
  <c r="D16" i="3"/>
  <c r="D30" i="3"/>
  <c r="D25" i="3"/>
  <c r="D12" i="3"/>
  <c r="D13" i="3"/>
  <c r="D14" i="3"/>
  <c r="D15" i="3"/>
  <c r="D17" i="3"/>
  <c r="D31" i="3"/>
  <c r="D39" i="3"/>
  <c r="D26" i="3"/>
  <c r="D41" i="3"/>
  <c r="D28" i="3"/>
  <c r="D43" i="3"/>
  <c r="D18" i="3"/>
  <c r="D32" i="3"/>
  <c r="D19" i="3"/>
  <c r="D33" i="3"/>
  <c r="D20" i="3"/>
  <c r="N17" i="5" l="1"/>
  <c r="N31" i="5"/>
  <c r="E73" i="11"/>
  <c r="F51" i="11"/>
  <c r="C73" i="11"/>
  <c r="F69" i="11"/>
  <c r="F64" i="11"/>
  <c r="F66" i="11"/>
  <c r="F60" i="11"/>
  <c r="F68" i="11"/>
  <c r="F67" i="11"/>
  <c r="D73" i="11"/>
  <c r="F70" i="11"/>
  <c r="F71" i="11"/>
  <c r="F56" i="11"/>
  <c r="F62" i="11"/>
  <c r="F72" i="11"/>
  <c r="F59" i="11"/>
  <c r="F58" i="11"/>
  <c r="M40" i="10"/>
  <c r="N40" i="10"/>
  <c r="N34" i="10"/>
  <c r="M34" i="10"/>
  <c r="N27" i="10"/>
  <c r="M27" i="10"/>
  <c r="M26" i="10"/>
  <c r="N26" i="10"/>
  <c r="N13" i="10"/>
  <c r="M13" i="10"/>
  <c r="N41" i="10"/>
  <c r="M41" i="10"/>
  <c r="N20" i="10"/>
  <c r="M20" i="10"/>
  <c r="M33" i="10"/>
  <c r="N33" i="10"/>
  <c r="I44" i="10"/>
  <c r="M19" i="10"/>
  <c r="N19" i="10"/>
  <c r="M12" i="10"/>
  <c r="N12" i="10"/>
  <c r="N39" i="10"/>
  <c r="M39" i="10"/>
  <c r="L32" i="10"/>
  <c r="L25" i="10"/>
  <c r="L18" i="10"/>
  <c r="L44" i="10" s="1"/>
  <c r="H55" i="9" a="1"/>
  <c r="H55" i="9" s="1"/>
  <c r="J54" i="9" a="1"/>
  <c r="J54" i="9" s="1"/>
  <c r="D56" i="9" a="1"/>
  <c r="D56" i="9" s="1"/>
  <c r="L59" i="9" a="1"/>
  <c r="L59" i="9" s="1"/>
  <c r="D58" i="9" a="1"/>
  <c r="D58" i="9" s="1"/>
  <c r="M63" i="9"/>
  <c r="I53" i="9" a="1"/>
  <c r="I53" i="9" s="1"/>
  <c r="P53" i="9" s="1"/>
  <c r="C55" i="9" a="1"/>
  <c r="C55" i="9" s="1"/>
  <c r="I54" i="9" a="1"/>
  <c r="I54" i="9" s="1"/>
  <c r="E56" i="9" a="1"/>
  <c r="E56" i="9" s="1"/>
  <c r="K59" i="9" a="1"/>
  <c r="K59" i="9" s="1"/>
  <c r="F58" i="9" a="1"/>
  <c r="F58" i="9" s="1"/>
  <c r="H51" i="9" a="1"/>
  <c r="H51" i="9" s="1"/>
  <c r="H53" i="9" a="1"/>
  <c r="H53" i="9" s="1"/>
  <c r="J55" i="9" a="1"/>
  <c r="J55" i="9" s="1"/>
  <c r="D54" i="9" a="1"/>
  <c r="D54" i="9" s="1"/>
  <c r="L56" i="9" a="1"/>
  <c r="L56" i="9" s="1"/>
  <c r="L63" i="9" s="1"/>
  <c r="F59" i="9" a="1"/>
  <c r="F59" i="9" s="1"/>
  <c r="G58" i="9" a="1"/>
  <c r="G58" i="9" s="1"/>
  <c r="P58" i="9" s="1"/>
  <c r="I51" i="9" a="1"/>
  <c r="I51" i="9" s="1"/>
  <c r="J53" i="9" a="1"/>
  <c r="J53" i="9" s="1"/>
  <c r="I55" i="9" a="1"/>
  <c r="I55" i="9" s="1"/>
  <c r="E54" i="9" a="1"/>
  <c r="E54" i="9" s="1"/>
  <c r="E63" i="9" s="1"/>
  <c r="G56" i="9" a="1"/>
  <c r="G56" i="9" s="1"/>
  <c r="G63" i="9" s="1"/>
  <c r="H59" i="9" a="1"/>
  <c r="H59" i="9" s="1"/>
  <c r="N58" i="9" a="1"/>
  <c r="N58" i="9" s="1"/>
  <c r="J62" i="9" a="1"/>
  <c r="J62" i="9" s="1"/>
  <c r="N51" i="9" a="1"/>
  <c r="N51" i="9" s="1"/>
  <c r="K53" i="9" a="1"/>
  <c r="K53" i="9" s="1"/>
  <c r="K63" i="9" s="1"/>
  <c r="E55" i="9" a="1"/>
  <c r="E55" i="9" s="1"/>
  <c r="L54" i="9" a="1"/>
  <c r="L54" i="9" s="1"/>
  <c r="N56" i="9" a="1"/>
  <c r="N56" i="9" s="1"/>
  <c r="O59" i="9" a="1"/>
  <c r="O59" i="9" s="1"/>
  <c r="H58" i="9" a="1"/>
  <c r="H58" i="9" s="1"/>
  <c r="I62" i="9" a="1"/>
  <c r="I62" i="9" s="1"/>
  <c r="P62" i="9" s="1"/>
  <c r="J51" i="9" a="1"/>
  <c r="J51" i="9" s="1"/>
  <c r="D53" i="9" a="1"/>
  <c r="D53" i="9" s="1"/>
  <c r="F55" i="9" a="1"/>
  <c r="F55" i="9" s="1"/>
  <c r="F54" i="9" a="1"/>
  <c r="F54" i="9" s="1"/>
  <c r="F63" i="9" s="1"/>
  <c r="C56" i="9" a="1"/>
  <c r="C56" i="9" s="1"/>
  <c r="P56" i="9" s="1"/>
  <c r="I59" i="9" a="1"/>
  <c r="I59" i="9" s="1"/>
  <c r="O58" i="9" a="1"/>
  <c r="O58" i="9" s="1"/>
  <c r="O63" i="9" s="1"/>
  <c r="J52" i="9" a="1"/>
  <c r="J52" i="9" s="1"/>
  <c r="D62" i="9" a="1"/>
  <c r="D62" i="9" s="1"/>
  <c r="C51" i="9" a="1"/>
  <c r="C51" i="9" s="1"/>
  <c r="E53" i="9" a="1"/>
  <c r="E53" i="9" s="1"/>
  <c r="M55" i="9" a="1"/>
  <c r="M55" i="9" s="1"/>
  <c r="M54" i="9" a="1"/>
  <c r="M54" i="9" s="1"/>
  <c r="F56" i="9" a="1"/>
  <c r="F56" i="9" s="1"/>
  <c r="D59" i="9" a="1"/>
  <c r="D59" i="9" s="1"/>
  <c r="P59" i="9" s="1"/>
  <c r="J6" i="9" a="1"/>
  <c r="J6" i="9" s="1"/>
  <c r="K60" i="9" a="1"/>
  <c r="K60" i="9" s="1"/>
  <c r="G33" i="9"/>
  <c r="P65" i="9" a="1"/>
  <c r="P65" i="9" s="1"/>
  <c r="N60" i="9" a="1"/>
  <c r="N60" i="9" s="1"/>
  <c r="F60" i="9" a="1"/>
  <c r="F60" i="9" s="1"/>
  <c r="P60" i="9" s="1"/>
  <c r="N57" i="9" a="1"/>
  <c r="N57" i="9" s="1"/>
  <c r="P57" i="9" s="1"/>
  <c r="F52" i="9" a="1"/>
  <c r="F52" i="9" s="1"/>
  <c r="P52" i="9" s="1"/>
  <c r="K62" i="9" a="1"/>
  <c r="K62" i="9" s="1"/>
  <c r="D51" i="9" a="1"/>
  <c r="D51" i="9" s="1"/>
  <c r="F53" i="9" a="1"/>
  <c r="F53" i="9" s="1"/>
  <c r="D55" i="9" a="1"/>
  <c r="D55" i="9" s="1"/>
  <c r="C54" i="9" a="1"/>
  <c r="C54" i="9" s="1"/>
  <c r="H56" i="9" a="1"/>
  <c r="H56" i="9" s="1"/>
  <c r="G59" i="9" a="1"/>
  <c r="G59" i="9" s="1"/>
  <c r="J61" i="9" a="1"/>
  <c r="J61" i="9" s="1"/>
  <c r="P61" i="9" s="1"/>
  <c r="M26" i="8"/>
  <c r="N26" i="8"/>
  <c r="N16" i="8"/>
  <c r="M16" i="8"/>
  <c r="N41" i="8"/>
  <c r="M41" i="8"/>
  <c r="M12" i="8"/>
  <c r="N12" i="8"/>
  <c r="M19" i="8"/>
  <c r="N19" i="8"/>
  <c r="N34" i="8"/>
  <c r="M34" i="8"/>
  <c r="N27" i="8"/>
  <c r="M27" i="8"/>
  <c r="N20" i="8"/>
  <c r="M20" i="8"/>
  <c r="N35" i="8"/>
  <c r="M35" i="8"/>
  <c r="N21" i="8"/>
  <c r="M21" i="8"/>
  <c r="M40" i="8"/>
  <c r="N40" i="8"/>
  <c r="N14" i="8"/>
  <c r="M14" i="8"/>
  <c r="M33" i="8"/>
  <c r="N33" i="8"/>
  <c r="M37" i="8"/>
  <c r="N37" i="8"/>
  <c r="N23" i="8"/>
  <c r="M23" i="8"/>
  <c r="N39" i="8"/>
  <c r="M39" i="8"/>
  <c r="L32" i="8"/>
  <c r="L25" i="8"/>
  <c r="N42" i="8"/>
  <c r="M42" i="8"/>
  <c r="L18" i="8"/>
  <c r="N13" i="8"/>
  <c r="M13" i="8"/>
  <c r="L11" i="8"/>
  <c r="M30" i="8"/>
  <c r="N30" i="8"/>
  <c r="I44" i="8"/>
  <c r="N28" i="8"/>
  <c r="M28" i="8"/>
  <c r="L9" i="8"/>
  <c r="J71" i="7" a="1"/>
  <c r="O17" i="6"/>
  <c r="N17" i="6"/>
  <c r="O32" i="6"/>
  <c r="N32" i="6"/>
  <c r="O21" i="6"/>
  <c r="N21" i="6"/>
  <c r="O19" i="6"/>
  <c r="N19" i="6"/>
  <c r="O31" i="6"/>
  <c r="N31" i="6"/>
  <c r="O24" i="6"/>
  <c r="N24" i="6"/>
  <c r="O30" i="6"/>
  <c r="N30" i="6"/>
  <c r="O28" i="6"/>
  <c r="N28" i="6"/>
  <c r="O13" i="6"/>
  <c r="N13" i="6"/>
  <c r="O26" i="6"/>
  <c r="N26" i="6"/>
  <c r="O23" i="6"/>
  <c r="N23" i="6"/>
  <c r="O37" i="6"/>
  <c r="N37" i="6"/>
  <c r="O18" i="6"/>
  <c r="N18" i="6"/>
  <c r="O35" i="6"/>
  <c r="N35" i="6"/>
  <c r="O34" i="6"/>
  <c r="N34" i="6"/>
  <c r="O33" i="6"/>
  <c r="N33" i="6"/>
  <c r="M9" i="6"/>
  <c r="O22" i="6"/>
  <c r="N22" i="6"/>
  <c r="O16" i="6"/>
  <c r="N16" i="6"/>
  <c r="O14" i="6"/>
  <c r="N14" i="6"/>
  <c r="O36" i="6"/>
  <c r="N36" i="6"/>
  <c r="O12" i="6"/>
  <c r="N12" i="6"/>
  <c r="O27" i="6"/>
  <c r="N27" i="6"/>
  <c r="O29" i="6"/>
  <c r="N29" i="6"/>
  <c r="O42" i="6"/>
  <c r="N42" i="6"/>
  <c r="O39" i="6"/>
  <c r="N39" i="6"/>
  <c r="O25" i="6"/>
  <c r="N25" i="6"/>
  <c r="O11" i="6"/>
  <c r="N11" i="6"/>
  <c r="O20" i="6"/>
  <c r="N20" i="6"/>
  <c r="O10" i="6"/>
  <c r="N10" i="6"/>
  <c r="O15" i="6"/>
  <c r="N15" i="6"/>
  <c r="O41" i="6"/>
  <c r="N41" i="6"/>
  <c r="O40" i="6"/>
  <c r="N40" i="6"/>
  <c r="O38" i="6"/>
  <c r="N38" i="6"/>
  <c r="M9" i="5"/>
  <c r="M44" i="5" s="1"/>
  <c r="L44" i="5"/>
  <c r="N9" i="5"/>
  <c r="N44" i="5" s="1"/>
  <c r="N47" i="5" s="1"/>
  <c r="F73" i="11" l="1"/>
  <c r="N32" i="10"/>
  <c r="M32" i="10"/>
  <c r="N25" i="10"/>
  <c r="M25" i="10"/>
  <c r="M18" i="10"/>
  <c r="M44" i="10" s="1"/>
  <c r="N18" i="10"/>
  <c r="N44" i="10" s="1"/>
  <c r="N47" i="10" s="1"/>
  <c r="P55" i="9"/>
  <c r="N63" i="9"/>
  <c r="P54" i="9"/>
  <c r="D63" i="9"/>
  <c r="J63" i="9"/>
  <c r="I63" i="9"/>
  <c r="H63" i="9"/>
  <c r="C63" i="9"/>
  <c r="P51" i="9"/>
  <c r="P63" i="9" s="1"/>
  <c r="N18" i="8"/>
  <c r="M18" i="8"/>
  <c r="N9" i="8"/>
  <c r="M9" i="8"/>
  <c r="L44" i="8"/>
  <c r="N25" i="8"/>
  <c r="M25" i="8"/>
  <c r="N32" i="8"/>
  <c r="M32" i="8"/>
  <c r="M11" i="8"/>
  <c r="N11" i="8"/>
  <c r="M44" i="6"/>
  <c r="O9" i="6"/>
  <c r="O44" i="6" s="1"/>
  <c r="O47" i="6" s="1"/>
  <c r="N9" i="6"/>
  <c r="N44" i="6" s="1"/>
  <c r="N48" i="5"/>
  <c r="N49" i="5" s="1"/>
  <c r="O41" i="5" s="1"/>
  <c r="O30" i="5"/>
  <c r="O23" i="5"/>
  <c r="P41" i="5" l="1"/>
  <c r="L41" i="6"/>
  <c r="C40" i="7" s="1"/>
  <c r="G30" i="7" s="1"/>
  <c r="O15" i="5"/>
  <c r="O29" i="5"/>
  <c r="O43" i="5"/>
  <c r="O39" i="5"/>
  <c r="O33" i="5"/>
  <c r="O14" i="5"/>
  <c r="O21" i="5"/>
  <c r="O11" i="5"/>
  <c r="O35" i="5"/>
  <c r="P30" i="5"/>
  <c r="L30" i="6"/>
  <c r="C29" i="7" s="1"/>
  <c r="G22" i="7" s="1"/>
  <c r="O42" i="5"/>
  <c r="P23" i="5"/>
  <c r="L23" i="6"/>
  <c r="C22" i="7" s="1"/>
  <c r="G15" i="7" s="1"/>
  <c r="O10" i="5"/>
  <c r="O37" i="5"/>
  <c r="O22" i="5"/>
  <c r="O17" i="5"/>
  <c r="O24" i="5"/>
  <c r="O28" i="5"/>
  <c r="O18" i="5"/>
  <c r="O9" i="5"/>
  <c r="L9" i="6" s="1"/>
  <c r="O12" i="5"/>
  <c r="F77" i="11"/>
  <c r="F76" i="11"/>
  <c r="N48" i="10"/>
  <c r="N49" i="10" s="1"/>
  <c r="O41" i="10" s="1"/>
  <c r="P41" i="10" s="1"/>
  <c r="O35" i="10"/>
  <c r="P35" i="10" s="1"/>
  <c r="O14" i="10"/>
  <c r="P14" i="10" s="1"/>
  <c r="O19" i="10"/>
  <c r="P19" i="10" s="1"/>
  <c r="O37" i="10"/>
  <c r="P37" i="10" s="1"/>
  <c r="O23" i="10"/>
  <c r="P23" i="10" s="1"/>
  <c r="O10" i="10"/>
  <c r="P10" i="10" s="1"/>
  <c r="O17" i="10"/>
  <c r="P17" i="10" s="1"/>
  <c r="P67" i="9"/>
  <c r="P66" i="9"/>
  <c r="M44" i="8"/>
  <c r="N44" i="8"/>
  <c r="N47" i="8" s="1"/>
  <c r="O48" i="6"/>
  <c r="O49" i="6" s="1"/>
  <c r="P43" i="6"/>
  <c r="Q43" i="6" s="1"/>
  <c r="S43" i="6" s="1"/>
  <c r="P42" i="6"/>
  <c r="Q42" i="6" s="1"/>
  <c r="S42" i="6" s="1"/>
  <c r="P41" i="6"/>
  <c r="Q41" i="6" s="1"/>
  <c r="S41" i="6" s="1"/>
  <c r="P40" i="6"/>
  <c r="Q40" i="6" s="1"/>
  <c r="S40" i="6" s="1"/>
  <c r="P39" i="6"/>
  <c r="Q39" i="6" s="1"/>
  <c r="S39" i="6" s="1"/>
  <c r="P38" i="6"/>
  <c r="Q38" i="6" s="1"/>
  <c r="S38" i="6" s="1"/>
  <c r="P37" i="6"/>
  <c r="Q37" i="6" s="1"/>
  <c r="S37" i="6" s="1"/>
  <c r="P36" i="6"/>
  <c r="Q36" i="6" s="1"/>
  <c r="S36" i="6" s="1"/>
  <c r="P35" i="6"/>
  <c r="Q35" i="6" s="1"/>
  <c r="S35" i="6" s="1"/>
  <c r="P34" i="6"/>
  <c r="Q34" i="6" s="1"/>
  <c r="S34" i="6" s="1"/>
  <c r="P33" i="6"/>
  <c r="Q33" i="6" s="1"/>
  <c r="S33" i="6" s="1"/>
  <c r="P32" i="6"/>
  <c r="Q32" i="6" s="1"/>
  <c r="S32" i="6" s="1"/>
  <c r="P31" i="6"/>
  <c r="Q31" i="6" s="1"/>
  <c r="S31" i="6" s="1"/>
  <c r="P30" i="6"/>
  <c r="Q30" i="6" s="1"/>
  <c r="S30" i="6" s="1"/>
  <c r="P29" i="6"/>
  <c r="Q29" i="6" s="1"/>
  <c r="S29" i="6" s="1"/>
  <c r="P28" i="6"/>
  <c r="Q28" i="6" s="1"/>
  <c r="S28" i="6" s="1"/>
  <c r="P27" i="6"/>
  <c r="Q27" i="6" s="1"/>
  <c r="S27" i="6" s="1"/>
  <c r="P26" i="6"/>
  <c r="Q26" i="6" s="1"/>
  <c r="S26" i="6" s="1"/>
  <c r="P25" i="6"/>
  <c r="Q25" i="6" s="1"/>
  <c r="S25" i="6" s="1"/>
  <c r="P24" i="6"/>
  <c r="Q24" i="6" s="1"/>
  <c r="S24" i="6" s="1"/>
  <c r="P23" i="6"/>
  <c r="Q23" i="6" s="1"/>
  <c r="S23" i="6" s="1"/>
  <c r="P22" i="6"/>
  <c r="Q22" i="6" s="1"/>
  <c r="S22" i="6" s="1"/>
  <c r="P21" i="6"/>
  <c r="Q21" i="6" s="1"/>
  <c r="S21" i="6" s="1"/>
  <c r="P20" i="6"/>
  <c r="Q20" i="6" s="1"/>
  <c r="S20" i="6" s="1"/>
  <c r="P19" i="6"/>
  <c r="Q19" i="6" s="1"/>
  <c r="S19" i="6" s="1"/>
  <c r="P18" i="6"/>
  <c r="Q18" i="6" s="1"/>
  <c r="S18" i="6" s="1"/>
  <c r="P17" i="6"/>
  <c r="Q17" i="6" s="1"/>
  <c r="S17" i="6" s="1"/>
  <c r="P16" i="6"/>
  <c r="Q16" i="6" s="1"/>
  <c r="S16" i="6" s="1"/>
  <c r="P15" i="6"/>
  <c r="Q15" i="6" s="1"/>
  <c r="S15" i="6" s="1"/>
  <c r="P14" i="6"/>
  <c r="Q14" i="6" s="1"/>
  <c r="S14" i="6" s="1"/>
  <c r="P13" i="6"/>
  <c r="Q13" i="6" s="1"/>
  <c r="S13" i="6" s="1"/>
  <c r="P12" i="6"/>
  <c r="Q12" i="6" s="1"/>
  <c r="S12" i="6" s="1"/>
  <c r="P11" i="6"/>
  <c r="Q11" i="6" s="1"/>
  <c r="S11" i="6" s="1"/>
  <c r="P10" i="6"/>
  <c r="Q10" i="6" s="1"/>
  <c r="S10" i="6" s="1"/>
  <c r="P9" i="6"/>
  <c r="O27" i="5"/>
  <c r="O34" i="5"/>
  <c r="O31" i="5"/>
  <c r="O36" i="5"/>
  <c r="O13" i="5"/>
  <c r="O38" i="5"/>
  <c r="O20" i="5"/>
  <c r="O32" i="5"/>
  <c r="O40" i="5"/>
  <c r="O19" i="5"/>
  <c r="O25" i="5"/>
  <c r="O26" i="5"/>
  <c r="O16" i="5"/>
  <c r="P40" i="5" l="1"/>
  <c r="L40" i="6"/>
  <c r="C39" i="7" s="1"/>
  <c r="P42" i="5"/>
  <c r="L42" i="6"/>
  <c r="C41" i="7" s="1"/>
  <c r="G31" i="7" s="1"/>
  <c r="P36" i="5"/>
  <c r="L36" i="6"/>
  <c r="C35" i="7" s="1"/>
  <c r="G28" i="7" s="1"/>
  <c r="P12" i="5"/>
  <c r="L12" i="6"/>
  <c r="C11" i="7" s="1"/>
  <c r="G11" i="7" s="1"/>
  <c r="P35" i="5"/>
  <c r="L35" i="6"/>
  <c r="C34" i="7" s="1"/>
  <c r="G27" i="7" s="1"/>
  <c r="P31" i="5"/>
  <c r="L31" i="6"/>
  <c r="C30" i="7" s="1"/>
  <c r="G23" i="7" s="1"/>
  <c r="P34" i="5"/>
  <c r="L34" i="6"/>
  <c r="C33" i="7" s="1"/>
  <c r="G26" i="7" s="1"/>
  <c r="P20" i="5"/>
  <c r="L20" i="6"/>
  <c r="C19" i="7" s="1"/>
  <c r="P38" i="5"/>
  <c r="L38" i="6"/>
  <c r="C37" i="7" s="1"/>
  <c r="P13" i="5"/>
  <c r="L13" i="6"/>
  <c r="C12" i="7" s="1"/>
  <c r="C8" i="7"/>
  <c r="P11" i="5"/>
  <c r="L11" i="6"/>
  <c r="C10" i="7" s="1"/>
  <c r="G10" i="7" s="1"/>
  <c r="P18" i="5"/>
  <c r="L18" i="6"/>
  <c r="C17" i="7" s="1"/>
  <c r="G13" i="7" s="1"/>
  <c r="P21" i="5"/>
  <c r="L21" i="6"/>
  <c r="C20" i="7" s="1"/>
  <c r="P27" i="5"/>
  <c r="L27" i="6"/>
  <c r="C26" i="7" s="1"/>
  <c r="G19" i="7" s="1"/>
  <c r="P28" i="5"/>
  <c r="L28" i="6"/>
  <c r="C27" i="7" s="1"/>
  <c r="G20" i="7" s="1"/>
  <c r="P14" i="5"/>
  <c r="L14" i="6"/>
  <c r="C13" i="7" s="1"/>
  <c r="P9" i="5"/>
  <c r="P24" i="5"/>
  <c r="L24" i="6"/>
  <c r="C23" i="7" s="1"/>
  <c r="G16" i="7" s="1"/>
  <c r="P33" i="5"/>
  <c r="L33" i="6"/>
  <c r="C32" i="7" s="1"/>
  <c r="G25" i="7" s="1"/>
  <c r="P16" i="5"/>
  <c r="L16" i="6"/>
  <c r="C15" i="7" s="1"/>
  <c r="P17" i="5"/>
  <c r="L17" i="6"/>
  <c r="C16" i="7" s="1"/>
  <c r="P39" i="5"/>
  <c r="L39" i="6"/>
  <c r="C38" i="7" s="1"/>
  <c r="P26" i="5"/>
  <c r="L26" i="6"/>
  <c r="C25" i="7" s="1"/>
  <c r="G18" i="7" s="1"/>
  <c r="P22" i="5"/>
  <c r="L22" i="6"/>
  <c r="C21" i="7" s="1"/>
  <c r="G14" i="7" s="1"/>
  <c r="P43" i="5"/>
  <c r="L43" i="6"/>
  <c r="C42" i="7" s="1"/>
  <c r="G32" i="7" s="1"/>
  <c r="P25" i="5"/>
  <c r="L25" i="6"/>
  <c r="C24" i="7" s="1"/>
  <c r="G17" i="7" s="1"/>
  <c r="P37" i="5"/>
  <c r="L37" i="6"/>
  <c r="C36" i="7" s="1"/>
  <c r="G29" i="7" s="1"/>
  <c r="P29" i="5"/>
  <c r="L29" i="6"/>
  <c r="C28" i="7" s="1"/>
  <c r="G21" i="7" s="1"/>
  <c r="P19" i="5"/>
  <c r="L19" i="6"/>
  <c r="C18" i="7" s="1"/>
  <c r="P10" i="5"/>
  <c r="L10" i="6"/>
  <c r="C9" i="7" s="1"/>
  <c r="G9" i="7" s="1"/>
  <c r="P15" i="5"/>
  <c r="L15" i="6"/>
  <c r="C14" i="7" s="1"/>
  <c r="P32" i="5"/>
  <c r="L32" i="6"/>
  <c r="C31" i="7" s="1"/>
  <c r="G24" i="7" s="1"/>
  <c r="O26" i="10"/>
  <c r="P26" i="10" s="1"/>
  <c r="O15" i="10"/>
  <c r="P15" i="10" s="1"/>
  <c r="O25" i="10"/>
  <c r="P25" i="10" s="1"/>
  <c r="O21" i="10"/>
  <c r="P21" i="10" s="1"/>
  <c r="O28" i="10"/>
  <c r="P28" i="10" s="1"/>
  <c r="O36" i="10"/>
  <c r="P36" i="10" s="1"/>
  <c r="O13" i="10"/>
  <c r="P13" i="10" s="1"/>
  <c r="O12" i="10"/>
  <c r="P12" i="10" s="1"/>
  <c r="O43" i="10"/>
  <c r="P43" i="10" s="1"/>
  <c r="O20" i="10"/>
  <c r="P20" i="10" s="1"/>
  <c r="O24" i="10"/>
  <c r="P24" i="10" s="1"/>
  <c r="O42" i="10"/>
  <c r="P42" i="10" s="1"/>
  <c r="O9" i="10"/>
  <c r="O16" i="10"/>
  <c r="P16" i="10" s="1"/>
  <c r="O18" i="10"/>
  <c r="P18" i="10" s="1"/>
  <c r="O40" i="10"/>
  <c r="P40" i="10" s="1"/>
  <c r="O22" i="10"/>
  <c r="P22" i="10" s="1"/>
  <c r="O32" i="10"/>
  <c r="P32" i="10" s="1"/>
  <c r="O29" i="10"/>
  <c r="P29" i="10" s="1"/>
  <c r="O39" i="10"/>
  <c r="P39" i="10" s="1"/>
  <c r="O33" i="10"/>
  <c r="P33" i="10" s="1"/>
  <c r="O27" i="10"/>
  <c r="P27" i="10" s="1"/>
  <c r="O31" i="10"/>
  <c r="P31" i="10" s="1"/>
  <c r="O11" i="10"/>
  <c r="P11" i="10" s="1"/>
  <c r="O34" i="10"/>
  <c r="P34" i="10" s="1"/>
  <c r="O38" i="10"/>
  <c r="P38" i="10" s="1"/>
  <c r="O30" i="10"/>
  <c r="P30" i="10" s="1"/>
  <c r="N48" i="8"/>
  <c r="N49" i="8" s="1"/>
  <c r="O41" i="8" s="1"/>
  <c r="P41" i="8" s="1"/>
  <c r="O42" i="8"/>
  <c r="P42" i="8" s="1"/>
  <c r="O35" i="8"/>
  <c r="P35" i="8" s="1"/>
  <c r="O28" i="8"/>
  <c r="P28" i="8" s="1"/>
  <c r="O21" i="8"/>
  <c r="P21" i="8" s="1"/>
  <c r="O14" i="8"/>
  <c r="P14" i="8" s="1"/>
  <c r="O15" i="8"/>
  <c r="P15" i="8" s="1"/>
  <c r="O31" i="8"/>
  <c r="P31" i="8" s="1"/>
  <c r="O17" i="8"/>
  <c r="P17" i="8" s="1"/>
  <c r="O11" i="8"/>
  <c r="P11" i="8" s="1"/>
  <c r="O37" i="8"/>
  <c r="P37" i="8" s="1"/>
  <c r="O30" i="8"/>
  <c r="P30" i="8" s="1"/>
  <c r="O26" i="8"/>
  <c r="P26" i="8" s="1"/>
  <c r="P44" i="6"/>
  <c r="Q9" i="6"/>
  <c r="O44" i="5"/>
  <c r="P44" i="5" l="1"/>
  <c r="G12" i="7"/>
  <c r="G8" i="7"/>
  <c r="C43" i="7"/>
  <c r="L44" i="6"/>
  <c r="O44" i="10"/>
  <c r="P9" i="10"/>
  <c r="P44" i="10" s="1"/>
  <c r="O22" i="8"/>
  <c r="P22" i="8" s="1"/>
  <c r="O39" i="8"/>
  <c r="P39" i="8" s="1"/>
  <c r="O34" i="8"/>
  <c r="P34" i="8" s="1"/>
  <c r="O32" i="8"/>
  <c r="P32" i="8" s="1"/>
  <c r="O19" i="8"/>
  <c r="P19" i="8" s="1"/>
  <c r="O10" i="8"/>
  <c r="P10" i="8" s="1"/>
  <c r="O29" i="8"/>
  <c r="P29" i="8" s="1"/>
  <c r="O33" i="8"/>
  <c r="P33" i="8" s="1"/>
  <c r="O36" i="8"/>
  <c r="P36" i="8" s="1"/>
  <c r="O18" i="8"/>
  <c r="P18" i="8" s="1"/>
  <c r="O40" i="8"/>
  <c r="P40" i="8" s="1"/>
  <c r="O43" i="8"/>
  <c r="P43" i="8" s="1"/>
  <c r="O13" i="8"/>
  <c r="P13" i="8" s="1"/>
  <c r="O12" i="8"/>
  <c r="P12" i="8" s="1"/>
  <c r="O25" i="8"/>
  <c r="P25" i="8" s="1"/>
  <c r="O20" i="8"/>
  <c r="P20" i="8" s="1"/>
  <c r="O9" i="8"/>
  <c r="O27" i="8"/>
  <c r="P27" i="8" s="1"/>
  <c r="O16" i="8"/>
  <c r="P16" i="8" s="1"/>
  <c r="O24" i="8"/>
  <c r="P24" i="8" s="1"/>
  <c r="O23" i="8"/>
  <c r="P23" i="8" s="1"/>
  <c r="O38" i="8"/>
  <c r="P38" i="8" s="1"/>
  <c r="Q44" i="6"/>
  <c r="S9" i="6"/>
  <c r="S44" i="6" s="1"/>
  <c r="G33" i="7" l="1"/>
  <c r="C61" i="7" s="1" a="1"/>
  <c r="C61" i="7" s="1"/>
  <c r="J6" i="7" a="1"/>
  <c r="J6" i="7" s="1"/>
  <c r="J71" i="7"/>
  <c r="I63" i="7" a="1"/>
  <c r="I63" i="7" s="1"/>
  <c r="D61" i="7" a="1"/>
  <c r="D61" i="7" s="1"/>
  <c r="C52" i="7" a="1"/>
  <c r="C52" i="7" s="1"/>
  <c r="E52" i="7" a="1"/>
  <c r="E52" i="7" s="1"/>
  <c r="F58" i="7" a="1"/>
  <c r="F58" i="7" s="1"/>
  <c r="D54" i="7" a="1"/>
  <c r="D54" i="7" s="1"/>
  <c r="F68" i="7" a="1"/>
  <c r="F68" i="7" s="1"/>
  <c r="C64" i="7" a="1"/>
  <c r="C64" i="7" s="1"/>
  <c r="D53" i="7" a="1"/>
  <c r="D53" i="7" s="1"/>
  <c r="H60" i="7" a="1"/>
  <c r="H60" i="7" s="1"/>
  <c r="D58" i="7" a="1"/>
  <c r="D58" i="7" s="1"/>
  <c r="F59" i="7" a="1"/>
  <c r="F59" i="7" s="1"/>
  <c r="O44" i="8"/>
  <c r="P9" i="8"/>
  <c r="P44" i="8" s="1"/>
  <c r="E62" i="7" l="1" a="1"/>
  <c r="E62" i="7" s="1"/>
  <c r="C60" i="7" a="1"/>
  <c r="C60" i="7" s="1"/>
  <c r="E64" i="7" a="1"/>
  <c r="E64" i="7" s="1"/>
  <c r="I53" i="7" a="1"/>
  <c r="I53" i="7" s="1"/>
  <c r="G61" i="7" a="1"/>
  <c r="G61" i="7" s="1"/>
  <c r="I55" i="7" a="1"/>
  <c r="I55" i="7" s="1"/>
  <c r="D56" i="7" a="1"/>
  <c r="D56" i="7" s="1"/>
  <c r="F60" i="7" a="1"/>
  <c r="F60" i="7" s="1"/>
  <c r="G53" i="7" a="1"/>
  <c r="G53" i="7" s="1"/>
  <c r="H62" i="7" a="1"/>
  <c r="H62" i="7" s="1"/>
  <c r="G57" i="7" a="1"/>
  <c r="G57" i="7" s="1"/>
  <c r="H61" i="7" a="1"/>
  <c r="H61" i="7" s="1"/>
  <c r="H54" i="7" a="1"/>
  <c r="H54" i="7" s="1"/>
  <c r="H67" i="7" a="1"/>
  <c r="H67" i="7" s="1"/>
  <c r="D51" i="7" a="1"/>
  <c r="D51" i="7" s="1"/>
  <c r="H51" i="7" a="1"/>
  <c r="H51" i="7" s="1"/>
  <c r="C55" i="7" a="1"/>
  <c r="C55" i="7" s="1"/>
  <c r="H55" i="7" a="1"/>
  <c r="H55" i="7" s="1"/>
  <c r="I58" i="7" a="1"/>
  <c r="I58" i="7" s="1"/>
  <c r="E63" i="7" a="1"/>
  <c r="E63" i="7" s="1"/>
  <c r="C66" i="7" a="1"/>
  <c r="C66" i="7" s="1"/>
  <c r="E58" i="7" a="1"/>
  <c r="E58" i="7" s="1"/>
  <c r="C65" i="7" a="1"/>
  <c r="C65" i="7" s="1"/>
  <c r="G60" i="7" a="1"/>
  <c r="G60" i="7" s="1"/>
  <c r="I68" i="7" a="1"/>
  <c r="I68" i="7" s="1"/>
  <c r="F63" i="7" a="1"/>
  <c r="F63" i="7" s="1"/>
  <c r="C62" i="7" a="1"/>
  <c r="C62" i="7" s="1"/>
  <c r="E66" i="7" a="1"/>
  <c r="E66" i="7" s="1"/>
  <c r="E51" i="7" a="1"/>
  <c r="E51" i="7" s="1"/>
  <c r="I61" i="7" a="1"/>
  <c r="I61" i="7" s="1"/>
  <c r="G51" i="7" a="1"/>
  <c r="G51" i="7" s="1"/>
  <c r="D67" i="7" a="1"/>
  <c r="D67" i="7" s="1"/>
  <c r="D66" i="7" a="1"/>
  <c r="D66" i="7" s="1"/>
  <c r="D68" i="7" a="1"/>
  <c r="D68" i="7" s="1"/>
  <c r="E56" i="7" a="1"/>
  <c r="E56" i="7" s="1"/>
  <c r="H66" i="7" a="1"/>
  <c r="H66" i="7" s="1"/>
  <c r="H58" i="7" a="1"/>
  <c r="H58" i="7" s="1"/>
  <c r="G65" i="7" a="1"/>
  <c r="G65" i="7" s="1"/>
  <c r="C63" i="7" a="1"/>
  <c r="C63" i="7" s="1"/>
  <c r="G62" i="7" a="1"/>
  <c r="G62" i="7" s="1"/>
  <c r="G66" i="7" a="1"/>
  <c r="G66" i="7" s="1"/>
  <c r="D55" i="7" a="1"/>
  <c r="D55" i="7" s="1"/>
  <c r="E55" i="7" a="1"/>
  <c r="E55" i="7" s="1"/>
  <c r="G63" i="7" a="1"/>
  <c r="G63" i="7" s="1"/>
  <c r="C51" i="7" a="1"/>
  <c r="C51" i="7" s="1"/>
  <c r="D63" i="7" a="1"/>
  <c r="D63" i="7" s="1"/>
  <c r="I51" i="7" a="1"/>
  <c r="I51" i="7" s="1"/>
  <c r="F51" i="7" a="1"/>
  <c r="F51" i="7" s="1"/>
  <c r="D65" i="7" a="1"/>
  <c r="D65" i="7" s="1"/>
  <c r="F64" i="7" a="1"/>
  <c r="F64" i="7" s="1"/>
  <c r="C68" i="7" a="1"/>
  <c r="C68" i="7" s="1"/>
  <c r="I62" i="7" a="1"/>
  <c r="I62" i="7" s="1"/>
  <c r="F67" i="7" a="1"/>
  <c r="F67" i="7" s="1"/>
  <c r="C67" i="7" a="1"/>
  <c r="C67" i="7" s="1"/>
  <c r="E68" i="7" a="1"/>
  <c r="E68" i="7" s="1"/>
  <c r="I64" i="7" a="1"/>
  <c r="I64" i="7" s="1"/>
  <c r="J64" i="7" s="1"/>
  <c r="G56" i="7" a="1"/>
  <c r="G56" i="7" s="1"/>
  <c r="I65" i="7" a="1"/>
  <c r="I65" i="7" s="1"/>
  <c r="H59" i="7" a="1"/>
  <c r="H59" i="7" s="1"/>
  <c r="H57" i="7" a="1"/>
  <c r="H57" i="7" s="1"/>
  <c r="E54" i="7" a="1"/>
  <c r="E54" i="7" s="1"/>
  <c r="F57" i="7" a="1"/>
  <c r="F57" i="7" s="1"/>
  <c r="D59" i="7" a="1"/>
  <c r="D59" i="7" s="1"/>
  <c r="E67" i="7" a="1"/>
  <c r="E67" i="7" s="1"/>
  <c r="G64" i="7" a="1"/>
  <c r="G64" i="7" s="1"/>
  <c r="F65" i="7" a="1"/>
  <c r="F65" i="7" s="1"/>
  <c r="C59" i="7" a="1"/>
  <c r="C59" i="7" s="1"/>
  <c r="H56" i="7" a="1"/>
  <c r="H56" i="7" s="1"/>
  <c r="C56" i="7" a="1"/>
  <c r="C56" i="7" s="1"/>
  <c r="J56" i="7" s="1"/>
  <c r="F55" i="7" a="1"/>
  <c r="F55" i="7" s="1"/>
  <c r="E53" i="7" a="1"/>
  <c r="E53" i="7" s="1"/>
  <c r="G58" i="7" a="1"/>
  <c r="G58" i="7" s="1"/>
  <c r="H68" i="7" a="1"/>
  <c r="H68" i="7" s="1"/>
  <c r="F53" i="7" a="1"/>
  <c r="F53" i="7" s="1"/>
  <c r="E59" i="7" a="1"/>
  <c r="E59" i="7" s="1"/>
  <c r="F61" i="7" a="1"/>
  <c r="F61" i="7" s="1"/>
  <c r="E65" i="7" a="1"/>
  <c r="E65" i="7" s="1"/>
  <c r="D52" i="7" a="1"/>
  <c r="D52" i="7" s="1"/>
  <c r="G68" i="7" a="1"/>
  <c r="G68" i="7" s="1"/>
  <c r="C54" i="7" a="1"/>
  <c r="C54" i="7" s="1"/>
  <c r="F62" i="7" a="1"/>
  <c r="F62" i="7" s="1"/>
  <c r="I60" i="7" a="1"/>
  <c r="I60" i="7" s="1"/>
  <c r="H53" i="7" a="1"/>
  <c r="H53" i="7" s="1"/>
  <c r="F66" i="7" a="1"/>
  <c r="F66" i="7" s="1"/>
  <c r="D60" i="7" a="1"/>
  <c r="D60" i="7" s="1"/>
  <c r="I67" i="7" a="1"/>
  <c r="I67" i="7" s="1"/>
  <c r="H52" i="7" a="1"/>
  <c r="H52" i="7" s="1"/>
  <c r="D57" i="7" a="1"/>
  <c r="D57" i="7" s="1"/>
  <c r="G54" i="7" a="1"/>
  <c r="G54" i="7" s="1"/>
  <c r="C57" i="7" a="1"/>
  <c r="C57" i="7" s="1"/>
  <c r="I66" i="7" a="1"/>
  <c r="I66" i="7" s="1"/>
  <c r="H63" i="7" a="1"/>
  <c r="H63" i="7" s="1"/>
  <c r="H64" i="7" a="1"/>
  <c r="H64" i="7" s="1"/>
  <c r="G55" i="7" a="1"/>
  <c r="G55" i="7" s="1"/>
  <c r="G59" i="7" a="1"/>
  <c r="G59" i="7" s="1"/>
  <c r="C58" i="7" a="1"/>
  <c r="C58" i="7" s="1"/>
  <c r="J58" i="7" s="1"/>
  <c r="C53" i="7" a="1"/>
  <c r="C53" i="7" s="1"/>
  <c r="I52" i="7" a="1"/>
  <c r="I52" i="7" s="1"/>
  <c r="E57" i="7" a="1"/>
  <c r="E57" i="7" s="1"/>
  <c r="I59" i="7" a="1"/>
  <c r="I59" i="7" s="1"/>
  <c r="I56" i="7" a="1"/>
  <c r="I56" i="7" s="1"/>
  <c r="E60" i="7" a="1"/>
  <c r="E60" i="7" s="1"/>
  <c r="H65" i="7" a="1"/>
  <c r="H65" i="7" s="1"/>
  <c r="D64" i="7" a="1"/>
  <c r="D64" i="7" s="1"/>
  <c r="G52" i="7" a="1"/>
  <c r="G52" i="7" s="1"/>
  <c r="F56" i="7" a="1"/>
  <c r="F56" i="7" s="1"/>
  <c r="I54" i="7" a="1"/>
  <c r="I54" i="7" s="1"/>
  <c r="E61" i="7" a="1"/>
  <c r="E61" i="7" s="1"/>
  <c r="G67" i="7" a="1"/>
  <c r="G67" i="7" s="1"/>
  <c r="F54" i="7" a="1"/>
  <c r="F54" i="7" s="1"/>
  <c r="F52" i="7" a="1"/>
  <c r="F52" i="7" s="1"/>
  <c r="D62" i="7" a="1"/>
  <c r="D62" i="7" s="1"/>
  <c r="I57" i="7" a="1"/>
  <c r="I57" i="7" s="1"/>
  <c r="J62" i="7" l="1"/>
  <c r="J61" i="7"/>
  <c r="E69" i="7"/>
  <c r="J63" i="7"/>
  <c r="J68" i="7"/>
  <c r="J59" i="7"/>
  <c r="J65" i="7"/>
  <c r="J66" i="7"/>
  <c r="F69" i="7"/>
  <c r="J57" i="7"/>
  <c r="J52" i="7"/>
  <c r="J54" i="7"/>
  <c r="I69" i="7"/>
  <c r="D69" i="7"/>
  <c r="J51" i="7"/>
  <c r="C69" i="7"/>
  <c r="G69" i="7"/>
  <c r="J55" i="7"/>
  <c r="J67" i="7"/>
  <c r="J53" i="7"/>
  <c r="H69" i="7"/>
  <c r="J60" i="7"/>
  <c r="J69" i="7" l="1"/>
  <c r="J72" i="7"/>
  <c r="J7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<sst xmlns="http://schemas.openxmlformats.org/spreadsheetml/2006/main" count="972" uniqueCount="98">
  <si>
    <t>Mes (Fecha de emisión de factura)</t>
  </si>
  <si>
    <t>Versión</t>
  </si>
  <si>
    <t>pre</t>
  </si>
  <si>
    <t>N°</t>
  </si>
  <si>
    <t>Clave</t>
  </si>
  <si>
    <t>Libro DP</t>
  </si>
  <si>
    <t>Distribuidora o Cooperativa</t>
  </si>
  <si>
    <t>EFACTAT</t>
  </si>
  <si>
    <t xml:space="preserve">EFACTBT </t>
  </si>
  <si>
    <t>EINYAT</t>
  </si>
  <si>
    <t>EINYBT</t>
  </si>
  <si>
    <t>MFAR</t>
  </si>
  <si>
    <t>[kWh]</t>
  </si>
  <si>
    <t>[$]</t>
  </si>
  <si>
    <t>CEC</t>
  </si>
  <si>
    <t>COELCHA</t>
  </si>
  <si>
    <t>EEC</t>
  </si>
  <si>
    <t>EMELCA</t>
  </si>
  <si>
    <t>CGED</t>
  </si>
  <si>
    <t>ELECDA SIC</t>
  </si>
  <si>
    <t>ELECDA</t>
  </si>
  <si>
    <t>EMELAT</t>
  </si>
  <si>
    <t>EMELECTRIC</t>
  </si>
  <si>
    <t>EMETAL</t>
  </si>
  <si>
    <t>ENEL DISTRIBUCIÓN</t>
  </si>
  <si>
    <t>LUZ ANDES</t>
  </si>
  <si>
    <t>CONAFE A</t>
  </si>
  <si>
    <t>CONAFE B</t>
  </si>
  <si>
    <t>ENELSA</t>
  </si>
  <si>
    <t>CRELL</t>
  </si>
  <si>
    <t>COPELEC</t>
  </si>
  <si>
    <t>EEPA</t>
  </si>
  <si>
    <t>COOPREL</t>
  </si>
  <si>
    <t>SOCOEPA</t>
  </si>
  <si>
    <t>COOPELAN</t>
  </si>
  <si>
    <t>FRONTEL</t>
  </si>
  <si>
    <t>LUZ OSORNO</t>
  </si>
  <si>
    <t>SAESA</t>
  </si>
  <si>
    <t>CODINER</t>
  </si>
  <si>
    <t>CHILQUINTA</t>
  </si>
  <si>
    <t>EDECSA</t>
  </si>
  <si>
    <t>LITORAL</t>
  </si>
  <si>
    <t>LUZLINARES</t>
  </si>
  <si>
    <t>LUZPARRAL</t>
  </si>
  <si>
    <t>TIL TIL</t>
  </si>
  <si>
    <t>TIL-TIL</t>
  </si>
  <si>
    <t>EMELARI</t>
  </si>
  <si>
    <t>ELIQSA</t>
  </si>
  <si>
    <t>ELECDA SING</t>
  </si>
  <si>
    <t>COOPERSOL</t>
  </si>
  <si>
    <t>DESA</t>
  </si>
  <si>
    <t>MATAQUITO</t>
  </si>
  <si>
    <t>Total</t>
  </si>
  <si>
    <t>VTD</t>
  </si>
  <si>
    <t>MFCD RGL</t>
  </si>
  <si>
    <t>MF7TRAN</t>
  </si>
  <si>
    <t>Montos Recaudados TD</t>
  </si>
  <si>
    <t>Variación IPC %</t>
  </si>
  <si>
    <t>Saldo + IPC</t>
  </si>
  <si>
    <t>Ajuste de saldo</t>
  </si>
  <si>
    <t>Ajuste de saldo + IPC</t>
  </si>
  <si>
    <t>VTD +Ajuste</t>
  </si>
  <si>
    <t>VTD Negativo</t>
  </si>
  <si>
    <t>VTD Positivo</t>
  </si>
  <si>
    <t>Monto a Transferir x empresa</t>
  </si>
  <si>
    <t>Saldo</t>
  </si>
  <si>
    <t>TOTAL</t>
  </si>
  <si>
    <t>Total VTD Positivo</t>
  </si>
  <si>
    <t>Total VTD Negativo</t>
  </si>
  <si>
    <t>Monto Final</t>
  </si>
  <si>
    <t>Montos Recaudados AR</t>
  </si>
  <si>
    <t>VA</t>
  </si>
  <si>
    <t>VR</t>
  </si>
  <si>
    <t>Diferencias en saldos</t>
  </si>
  <si>
    <t>Saldo final</t>
  </si>
  <si>
    <t>VTRS</t>
  </si>
  <si>
    <t>VTAS</t>
  </si>
  <si>
    <t>Montos a Transferir por Reliquidación de Ajustes y Recargos entre empresas concesionarias</t>
  </si>
  <si>
    <t>Montos a Transferir x empresa</t>
  </si>
  <si>
    <t>Diferencias en cuadros de pagos</t>
  </si>
  <si>
    <t>Montos a Transferir agrupado</t>
  </si>
  <si>
    <t>Montos a Transferir</t>
  </si>
  <si>
    <t>CGE</t>
  </si>
  <si>
    <t>ENEL DISTRIBUCION</t>
  </si>
  <si>
    <t>Cuadro de Pagos</t>
  </si>
  <si>
    <t>Pagan (montos en $)</t>
  </si>
  <si>
    <t>Reciben (montos en $)</t>
  </si>
  <si>
    <t>Montos Recaudados CD RGL</t>
  </si>
  <si>
    <t>MFCDRGL</t>
  </si>
  <si>
    <t>VD</t>
  </si>
  <si>
    <t>VC</t>
  </si>
  <si>
    <t>VTCS</t>
  </si>
  <si>
    <t>VTDS</t>
  </si>
  <si>
    <t>Montos a Transferir por Reliquidación de Cargo y Descuento por Reconocimiento de Generación Local entre empresas concesionarias</t>
  </si>
  <si>
    <t xml:space="preserve"> </t>
  </si>
  <si>
    <t>Montos Recaudados 7TRAN</t>
  </si>
  <si>
    <t>Montos a transferir por descuento en comunas reconocidas como zonas en transición (7° Transitorio)</t>
  </si>
  <si>
    <t>resumen_montos_facturados_TD_AR_CDpRGL_2507pre.xlsx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</si>
</sst>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$&quot;* #,##0_ ;_ &quot;$&quot;* \-#,##0_ ;_ &quot;$&quot;* &quot;-&quot;_ ;_ @_ "/>
    <numFmt numFmtId="164" formatCode="#,##0_ ;[Red]\-#,##0\ "/>
    <numFmt numFmtId="165" formatCode="_-* #,##0_-;\-* #,##0_-;_-* &quot;-&quot;_-;_-@_-"/>
    <numFmt numFmtId="166" formatCode="mmmm\ yyyy"/>
    <numFmt numFmtId="167" formatCode="0.0000%"/>
    <numFmt numFmtId="168" formatCode="0.00000%"/>
  </numFmts>
  <fonts count="11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0"/>
      <name val="Calibri"/>
      <family val="2"/>
    </font>
    <font>
      <b/>
      <sz val="10"/>
      <color indexed="8"/>
      <name val="Calibri"/>
      <family val="2"/>
    </font>
    <font>
      <sz val="10"/>
      <color indexed="12"/>
      <name val="Calibri"/>
      <family val="2"/>
    </font>
    <font>
      <b/>
      <sz val="10"/>
      <color indexed="12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0"/>
      <color theme="1"/>
      <name val="Calibri"/>
      <family val="2"/>
    </font>
    <font>
      <b/>
      <sz val="10"/>
      <color indexed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5" fontId="8" fillId="0" borderId="0" applyFont="0" applyFill="0" applyBorder="0" applyAlignment="0" applyProtection="0"/>
    <xf numFmtId="42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" fillId="0" borderId="0"/>
  </cellStyleXfs>
  <cellXfs count="128">
    <xf numFmtId="0" fontId="0" fillId="0" borderId="0" xfId="0"/>
    <xf numFmtId="0" fontId="3" fillId="0" borderId="0" xfId="0" applyFont="1" applyAlignment="1">
      <alignment horizontal="left" vertical="center"/>
    </xf>
    <xf numFmtId="0" fontId="0" fillId="2" borderId="1" xfId="0" applyFill="1" applyBorder="1" applyAlignment="1">
      <alignment vertical="center"/>
    </xf>
    <xf numFmtId="15" fontId="4" fillId="0" borderId="1" xfId="0" applyNumberFormat="1" applyFont="1" applyBorder="1" applyAlignment="1">
      <alignment vertical="center"/>
    </xf>
    <xf numFmtId="15" fontId="5" fillId="0" borderId="0" xfId="0" applyNumberFormat="1" applyFont="1" applyAlignment="1">
      <alignment horizontal="left" vertical="center"/>
    </xf>
    <xf numFmtId="15" fontId="5" fillId="0" borderId="0" xfId="0" applyNumberFormat="1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64" fontId="7" fillId="0" borderId="1" xfId="0" applyNumberFormat="1" applyFont="1" applyBorder="1"/>
    <xf numFmtId="164" fontId="0" fillId="0" borderId="0" xfId="0" applyNumberFormat="1"/>
    <xf numFmtId="9" fontId="0" fillId="0" borderId="0" xfId="3" applyFont="1"/>
    <xf numFmtId="0" fontId="6" fillId="0" borderId="4" xfId="0" applyFont="1" applyBorder="1"/>
    <xf numFmtId="0" fontId="0" fillId="0" borderId="2" xfId="0" applyBorder="1"/>
    <xf numFmtId="0" fontId="0" fillId="0" borderId="3" xfId="0" applyBorder="1"/>
    <xf numFmtId="164" fontId="9" fillId="0" borderId="1" xfId="0" applyNumberFormat="1" applyFont="1" applyBorder="1"/>
    <xf numFmtId="3" fontId="0" fillId="0" borderId="0" xfId="0" applyNumberFormat="1"/>
    <xf numFmtId="165" fontId="0" fillId="0" borderId="0" xfId="1" applyFont="1"/>
    <xf numFmtId="0" fontId="6" fillId="0" borderId="0" xfId="0" applyFont="1"/>
    <xf numFmtId="0" fontId="2" fillId="0" borderId="0" xfId="0" applyFont="1"/>
    <xf numFmtId="166" fontId="6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167" fontId="0" fillId="0" borderId="1" xfId="0" applyNumberFormat="1" applyBorder="1"/>
    <xf numFmtId="167" fontId="0" fillId="0" borderId="0" xfId="0" applyNumberFormat="1"/>
    <xf numFmtId="168" fontId="0" fillId="0" borderId="0" xfId="3" applyNumberFormat="1" applyFont="1" applyFill="1"/>
    <xf numFmtId="17" fontId="6" fillId="0" borderId="5" xfId="0" applyNumberFormat="1" applyFont="1" applyBorder="1" applyAlignment="1">
      <alignment horizontal="center" vertical="center" wrapText="1"/>
    </xf>
    <xf numFmtId="17" fontId="6" fillId="0" borderId="1" xfId="0" applyNumberFormat="1" applyFont="1" applyBorder="1" applyAlignment="1">
      <alignment horizontal="center" vertical="center" wrapText="1"/>
    </xf>
    <xf numFmtId="17" fontId="6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/>
    <xf numFmtId="17" fontId="6" fillId="0" borderId="7" xfId="0" applyNumberFormat="1" applyFont="1" applyBorder="1" applyAlignment="1">
      <alignment horizontal="center" vertical="center" wrapText="1"/>
    </xf>
    <xf numFmtId="17" fontId="6" fillId="0" borderId="8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7" fontId="6" fillId="0" borderId="9" xfId="0" applyNumberFormat="1" applyFont="1" applyBorder="1" applyAlignment="1">
      <alignment horizontal="center" vertical="center" wrapText="1"/>
    </xf>
    <xf numFmtId="17" fontId="6" fillId="0" borderId="5" xfId="0" applyNumberFormat="1" applyFont="1" applyBorder="1" applyAlignment="1">
      <alignment horizontal="center" vertical="center" wrapText="1"/>
    </xf>
    <xf numFmtId="17" fontId="6" fillId="0" borderId="6" xfId="0" applyNumberFormat="1" applyFont="1" applyBorder="1" applyAlignment="1">
      <alignment horizontal="center" vertical="center" wrapText="1"/>
    </xf>
    <xf numFmtId="17" fontId="6" fillId="0" borderId="1" xfId="0" applyNumberFormat="1" applyFont="1" applyBorder="1" applyAlignment="1">
      <alignment horizontal="center" vertical="center" wrapText="1"/>
    </xf>
    <xf numFmtId="0" fontId="0" fillId="0" borderId="6" xfId="0" applyBorder="1"/>
    <xf numFmtId="164" fontId="7" fillId="0" borderId="5" xfId="0" applyNumberFormat="1" applyFont="1" applyBorder="1"/>
    <xf numFmtId="0" fontId="0" fillId="0" borderId="10" xfId="0" applyBorder="1"/>
    <xf numFmtId="164" fontId="7" fillId="0" borderId="7" xfId="0" applyNumberFormat="1" applyFont="1" applyBorder="1"/>
    <xf numFmtId="0" fontId="0" fillId="0" borderId="9" xfId="0" applyBorder="1"/>
    <xf numFmtId="164" fontId="7" fillId="0" borderId="8" xfId="0" applyNumberFormat="1" applyFont="1" applyBorder="1"/>
    <xf numFmtId="0" fontId="6" fillId="0" borderId="9" xfId="0" applyFont="1" applyBorder="1" applyAlignment="1">
      <alignment horizontal="left" indent="1"/>
    </xf>
    <xf numFmtId="3" fontId="6" fillId="0" borderId="11" xfId="0" applyNumberFormat="1" applyFont="1" applyBorder="1" applyAlignment="1">
      <alignment horizontal="center"/>
    </xf>
    <xf numFmtId="3" fontId="6" fillId="0" borderId="8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0" fillId="3" borderId="0" xfId="0" applyFill="1"/>
    <xf numFmtId="3" fontId="6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3" fontId="2" fillId="0" borderId="0" xfId="0" applyNumberFormat="1" applyFont="1"/>
    <xf numFmtId="165" fontId="2" fillId="0" borderId="0" xfId="1" applyFont="1"/>
    <xf numFmtId="168" fontId="2" fillId="0" borderId="0" xfId="3" applyNumberFormat="1" applyFont="1" applyFill="1"/>
    <xf numFmtId="0" fontId="2" fillId="0" borderId="0" xfId="0" applyFont="1" applyAlignment="1">
      <alignment horizontal="center"/>
    </xf>
    <xf numFmtId="3" fontId="0" fillId="0" borderId="0" xfId="0" applyNumberFormat="1" applyAlignment="1">
      <alignment horizontal="left"/>
    </xf>
    <xf numFmtId="17" fontId="6" fillId="0" borderId="0" xfId="0" applyNumberFormat="1" applyFont="1" applyAlignment="1">
      <alignment horizontal="left"/>
    </xf>
    <xf numFmtId="17" fontId="6" fillId="0" borderId="0" xfId="0" applyNumberFormat="1" applyFont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164" fontId="7" fillId="0" borderId="0" xfId="0" applyNumberFormat="1" applyFont="1"/>
    <xf numFmtId="1" fontId="0" fillId="0" borderId="0" xfId="0" applyNumberFormat="1"/>
    <xf numFmtId="0" fontId="6" fillId="0" borderId="0" xfId="0" applyFont="1" applyAlignment="1">
      <alignment horizontal="left" indent="1"/>
    </xf>
    <xf numFmtId="0" fontId="0" fillId="3" borderId="0" xfId="0" applyFill="1" applyAlignment="1">
      <alignment horizontal="left" indent="1"/>
    </xf>
    <xf numFmtId="3" fontId="0" fillId="0" borderId="0" xfId="0" applyNumberFormat="1" applyAlignment="1">
      <alignment vertical="center"/>
    </xf>
    <xf numFmtId="164" fontId="9" fillId="0" borderId="0" xfId="0" applyNumberFormat="1" applyFont="1"/>
    <xf numFmtId="0" fontId="1" fillId="0" borderId="0" xfId="4"/>
    <xf numFmtId="3" fontId="6" fillId="0" borderId="5" xfId="0" applyNumberFormat="1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0" fillId="0" borderId="8" xfId="0" applyBorder="1" applyAlignment="1">
      <alignment horizontal="center" vertical="center"/>
    </xf>
    <xf numFmtId="3" fontId="6" fillId="0" borderId="1" xfId="0" applyNumberFormat="1" applyFont="1" applyBorder="1" applyAlignment="1">
      <alignment horizontal="left"/>
    </xf>
    <xf numFmtId="3" fontId="0" fillId="4" borderId="8" xfId="0" applyNumberFormat="1" applyFill="1" applyBorder="1"/>
    <xf numFmtId="3" fontId="0" fillId="0" borderId="1" xfId="0" applyNumberFormat="1" applyBorder="1" applyAlignment="1">
      <alignment vertical="center"/>
    </xf>
    <xf numFmtId="3" fontId="6" fillId="0" borderId="8" xfId="0" applyNumberFormat="1" applyFont="1" applyBorder="1" applyAlignment="1">
      <alignment horizontal="left"/>
    </xf>
    <xf numFmtId="3" fontId="6" fillId="0" borderId="1" xfId="0" applyNumberFormat="1" applyFont="1" applyBorder="1"/>
    <xf numFmtId="3" fontId="6" fillId="0" borderId="0" xfId="0" applyNumberFormat="1" applyFont="1"/>
    <xf numFmtId="3" fontId="6" fillId="0" borderId="1" xfId="0" applyNumberFormat="1" applyFont="1" applyBorder="1" applyAlignment="1">
      <alignment vertical="center"/>
    </xf>
    <xf numFmtId="3" fontId="10" fillId="0" borderId="1" xfId="0" applyNumberFormat="1" applyFont="1" applyBorder="1"/>
    <xf numFmtId="42" fontId="2" fillId="0" borderId="0" xfId="2" applyFont="1"/>
    <xf numFmtId="0" fontId="2" fillId="3" borderId="0" xfId="0" applyFont="1" applyFill="1"/>
    <xf numFmtId="0" fontId="6" fillId="3" borderId="0" xfId="0" applyFont="1" applyFill="1" applyAlignment="1">
      <alignment horizontal="left"/>
    </xf>
    <xf numFmtId="166" fontId="6" fillId="3" borderId="0" xfId="0" applyNumberFormat="1" applyFont="1" applyFill="1" applyAlignment="1">
      <alignment horizontal="left"/>
    </xf>
    <xf numFmtId="17" fontId="6" fillId="3" borderId="0" xfId="0" applyNumberFormat="1" applyFont="1" applyFill="1" applyAlignment="1">
      <alignment horizontal="left"/>
    </xf>
    <xf numFmtId="17" fontId="6" fillId="3" borderId="1" xfId="0" applyNumberFormat="1" applyFont="1" applyFill="1" applyBorder="1" applyAlignment="1">
      <alignment horizontal="center" vertical="center" wrapText="1"/>
    </xf>
    <xf numFmtId="17" fontId="6" fillId="3" borderId="5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  <xf numFmtId="17" fontId="6" fillId="3" borderId="8" xfId="0" applyNumberFormat="1" applyFont="1" applyFill="1" applyBorder="1" applyAlignment="1">
      <alignment horizontal="center" vertical="center" wrapText="1"/>
    </xf>
    <xf numFmtId="0" fontId="0" fillId="3" borderId="6" xfId="0" applyFill="1" applyBorder="1"/>
    <xf numFmtId="164" fontId="7" fillId="3" borderId="5" xfId="0" applyNumberFormat="1" applyFont="1" applyFill="1" applyBorder="1"/>
    <xf numFmtId="165" fontId="2" fillId="3" borderId="0" xfId="1" applyFont="1" applyFill="1" applyBorder="1"/>
    <xf numFmtId="164" fontId="7" fillId="3" borderId="7" xfId="0" applyNumberFormat="1" applyFont="1" applyFill="1" applyBorder="1"/>
    <xf numFmtId="165" fontId="2" fillId="3" borderId="10" xfId="1" applyFont="1" applyFill="1" applyBorder="1"/>
    <xf numFmtId="0" fontId="0" fillId="3" borderId="10" xfId="0" applyFill="1" applyBorder="1"/>
    <xf numFmtId="0" fontId="0" fillId="3" borderId="9" xfId="0" applyFill="1" applyBorder="1"/>
    <xf numFmtId="0" fontId="6" fillId="3" borderId="9" xfId="0" applyFont="1" applyFill="1" applyBorder="1" applyAlignment="1">
      <alignment horizontal="left" indent="1"/>
    </xf>
    <xf numFmtId="164" fontId="9" fillId="3" borderId="1" xfId="0" applyNumberFormat="1" applyFont="1" applyFill="1" applyBorder="1"/>
    <xf numFmtId="3" fontId="2" fillId="3" borderId="0" xfId="0" applyNumberFormat="1" applyFont="1" applyFill="1"/>
    <xf numFmtId="0" fontId="6" fillId="3" borderId="0" xfId="0" applyFont="1" applyFill="1" applyAlignment="1">
      <alignment horizontal="left" indent="1"/>
    </xf>
    <xf numFmtId="3" fontId="0" fillId="3" borderId="0" xfId="0" applyNumberFormat="1" applyFill="1"/>
    <xf numFmtId="164" fontId="7" fillId="3" borderId="8" xfId="0" applyNumberFormat="1" applyFont="1" applyFill="1" applyBorder="1"/>
    <xf numFmtId="165" fontId="2" fillId="3" borderId="0" xfId="1" applyFont="1" applyFill="1"/>
    <xf numFmtId="3" fontId="0" fillId="3" borderId="0" xfId="0" applyNumberFormat="1" applyFill="1" applyAlignment="1">
      <alignment vertical="center"/>
    </xf>
    <xf numFmtId="0" fontId="6" fillId="3" borderId="0" xfId="0" applyFont="1" applyFill="1"/>
    <xf numFmtId="3" fontId="6" fillId="3" borderId="5" xfId="0" applyNumberFormat="1" applyFont="1" applyFill="1" applyBorder="1" applyAlignment="1">
      <alignment horizontal="center" vertical="center"/>
    </xf>
    <xf numFmtId="3" fontId="6" fillId="3" borderId="4" xfId="0" applyNumberFormat="1" applyFont="1" applyFill="1" applyBorder="1" applyAlignment="1">
      <alignment horizontal="center" vertical="center"/>
    </xf>
    <xf numFmtId="3" fontId="6" fillId="3" borderId="2" xfId="0" applyNumberFormat="1" applyFont="1" applyFill="1" applyBorder="1" applyAlignment="1">
      <alignment horizontal="center" vertical="center"/>
    </xf>
    <xf numFmtId="3" fontId="6" fillId="3" borderId="12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3" fontId="0" fillId="5" borderId="8" xfId="0" applyNumberFormat="1" applyFill="1" applyBorder="1"/>
    <xf numFmtId="3" fontId="0" fillId="3" borderId="8" xfId="0" applyNumberFormat="1" applyFill="1" applyBorder="1" applyAlignment="1">
      <alignment vertical="center"/>
    </xf>
    <xf numFmtId="0" fontId="6" fillId="3" borderId="1" xfId="0" applyFont="1" applyFill="1" applyBorder="1" applyAlignment="1">
      <alignment horizontal="center"/>
    </xf>
    <xf numFmtId="3" fontId="6" fillId="3" borderId="1" xfId="0" applyNumberFormat="1" applyFont="1" applyFill="1" applyBorder="1"/>
    <xf numFmtId="3" fontId="6" fillId="3" borderId="0" xfId="0" applyNumberFormat="1" applyFont="1" applyFill="1"/>
    <xf numFmtId="3" fontId="6" fillId="3" borderId="3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vertical="center"/>
    </xf>
    <xf numFmtId="0" fontId="6" fillId="0" borderId="8" xfId="0" applyFont="1" applyBorder="1" applyAlignment="1">
      <alignment horizontal="center"/>
    </xf>
    <xf numFmtId="0" fontId="6" fillId="3" borderId="8" xfId="0" applyFont="1" applyFill="1" applyBorder="1" applyAlignment="1">
      <alignment vertical="center"/>
    </xf>
  </cellXfs>
  <cellStyles count="5">
    <cellStyle name="Millares [0]" xfId="1" builtinId="6"/>
    <cellStyle name="Moneda [0]" xfId="2" builtinId="7"/>
    <cellStyle name="Normal" xfId="0" builtinId="0"/>
    <cellStyle name="Normal 3" xfId="4" xr:uid="{85BE7CEF-714F-46F1-BF1F-1D122B4EF6A7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ias.nanco\Documents%20LOCAL\02%20Cargos%20Tarifarios\2025\07\pre\Ajustes%20y%20recargos%202507_pre.xlsm" TargetMode="External"/><Relationship Id="rId1" Type="http://schemas.openxmlformats.org/officeDocument/2006/relationships/externalLinkPath" Target="Ajustes%20y%20recargos%202507_pr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trada AR"/>
      <sheetName val="Entrada TD"/>
      <sheetName val="Entrada CDRGL"/>
      <sheetName val="Entrada 7TRAN"/>
      <sheetName val="Reliquidación TD"/>
      <sheetName val="CUADRO DE PAGO TD"/>
      <sheetName val="Reliquidación AR"/>
      <sheetName val="CUADRO DE PAGO AR"/>
      <sheetName val="Reliquidación CD RGL"/>
      <sheetName val="CUADRO DE PAGO CD RGL"/>
      <sheetName val="Reliquidación 7TRAN"/>
      <sheetName val="CUADRO DE PAGO 7TRAN"/>
    </sheetNames>
    <definedNames>
      <definedName name="CrearLibroAR"/>
      <definedName name="RescataDatos"/>
      <definedName name="RescataDatos_7TRAN"/>
      <definedName name="RescataDatos_CDRGL"/>
      <definedName name="RescataDatos_TD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23F30-40A9-4669-813A-7CC74AADCF2B}">
  <sheetPr codeName="Hoja8">
    <tabColor theme="0"/>
  </sheetPr>
  <dimension ref="B2:T45"/>
  <sheetViews>
    <sheetView showGridLines="0" tabSelected="1" zoomScale="85" zoomScaleNormal="85" workbookViewId="0">
      <selection activeCell="Q18" sqref="Q18"/>
    </sheetView>
  </sheetViews>
  <sheetFormatPr baseColWidth="10" defaultRowHeight="13" x14ac:dyDescent="0.3"/>
  <cols>
    <col min="2" max="2" width="3.3984375" customWidth="1"/>
    <col min="3" max="3" width="16.09765625" customWidth="1"/>
    <col min="4" max="4" width="52.296875" customWidth="1"/>
    <col min="5" max="5" width="16.69921875" customWidth="1"/>
    <col min="6" max="6" width="12.8984375" customWidth="1"/>
    <col min="7" max="7" width="15.8984375" customWidth="1"/>
    <col min="8" max="9" width="13.09765625" customWidth="1"/>
    <col min="10" max="10" width="13.59765625" bestFit="1" customWidth="1"/>
    <col min="11" max="11" width="17.8984375" customWidth="1"/>
    <col min="12" max="12" width="18.3984375" customWidth="1"/>
    <col min="13" max="13" width="13.09765625" customWidth="1"/>
    <col min="14" max="14" width="11.3984375" customWidth="1"/>
    <col min="15" max="15" width="11.8984375" bestFit="1" customWidth="1"/>
    <col min="16" max="16" width="13.296875" customWidth="1"/>
    <col min="17" max="17" width="11.59765625" customWidth="1"/>
    <col min="18" max="18" width="9.69921875" bestFit="1" customWidth="1"/>
    <col min="19" max="19" width="13.296875" bestFit="1" customWidth="1"/>
  </cols>
  <sheetData>
    <row r="2" spans="2:20" x14ac:dyDescent="0.3">
      <c r="B2" s="1" t="s">
        <v>0</v>
      </c>
      <c r="D2" s="1"/>
      <c r="E2" s="2" t="s">
        <v>1</v>
      </c>
      <c r="F2" s="2"/>
      <c r="G2" s="3" t="s">
        <v>2</v>
      </c>
    </row>
    <row r="3" spans="2:20" x14ac:dyDescent="0.3">
      <c r="B3" s="4">
        <v>45839</v>
      </c>
      <c r="C3" s="4"/>
      <c r="D3" s="5"/>
    </row>
    <row r="4" spans="2:20" x14ac:dyDescent="0.3">
      <c r="B4" s="1"/>
    </row>
    <row r="6" spans="2:20" x14ac:dyDescent="0.3">
      <c r="B6" s="6" t="s">
        <v>3</v>
      </c>
      <c r="C6" s="6" t="s">
        <v>4</v>
      </c>
      <c r="D6" s="6" t="s">
        <v>5</v>
      </c>
      <c r="E6" s="6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11</v>
      </c>
    </row>
    <row r="7" spans="2:20" x14ac:dyDescent="0.3">
      <c r="B7" s="6"/>
      <c r="C7" s="6"/>
      <c r="D7" s="6"/>
      <c r="E7" s="6"/>
      <c r="F7" s="7" t="s">
        <v>12</v>
      </c>
      <c r="G7" s="7" t="s">
        <v>12</v>
      </c>
      <c r="H7" s="7" t="s">
        <v>12</v>
      </c>
      <c r="I7" s="7" t="s">
        <v>12</v>
      </c>
      <c r="J7" s="7" t="s">
        <v>13</v>
      </c>
    </row>
    <row r="8" spans="2:20" x14ac:dyDescent="0.3">
      <c r="B8" s="8">
        <v>1</v>
      </c>
      <c r="C8" s="8" t="s">
        <v>14</v>
      </c>
      <c r="D8" s="9" t="str">
        <f>"resumen_montos_facturados_TD_AR_CDpRGL"&amp;"_"&amp;TEXT($B$3,"yymm")&amp;$G$2&amp;".xlsx"</f>
        <v>resumen_montos_facturados_TD_AR_CDpRGL_2507pre.xlsx</v>
      </c>
      <c r="E8" s="8" t="s">
        <v>14</v>
      </c>
      <c r="F8" s="10">
        <v>1585091</v>
      </c>
      <c r="G8" s="10">
        <v>3507003</v>
      </c>
      <c r="H8" s="10">
        <v>126789</v>
      </c>
      <c r="I8" s="10">
        <v>18748</v>
      </c>
      <c r="J8" s="10">
        <v>-23194427.49647909</v>
      </c>
      <c r="K8" s="11"/>
      <c r="L8" s="11"/>
      <c r="M8" s="12"/>
      <c r="N8" s="12"/>
      <c r="Q8" s="11"/>
      <c r="R8" s="11"/>
      <c r="S8" s="11"/>
      <c r="T8" s="11"/>
    </row>
    <row r="9" spans="2:20" x14ac:dyDescent="0.3">
      <c r="B9" s="8">
        <v>2</v>
      </c>
      <c r="C9" s="8" t="s">
        <v>15</v>
      </c>
      <c r="D9" s="9" t="str">
        <f t="shared" ref="D9:D43" si="0">"resumen_montos_facturados_TD_AR_CDpRGL"&amp;"_"&amp;TEXT($B$3,"yymm")&amp;$G$2&amp;".xlsx"</f>
        <v>resumen_montos_facturados_TD_AR_CDpRGL_2507pre.xlsx</v>
      </c>
      <c r="E9" s="8" t="s">
        <v>15</v>
      </c>
      <c r="F9" s="10">
        <v>797826</v>
      </c>
      <c r="G9" s="10">
        <v>3181304</v>
      </c>
      <c r="H9" s="10">
        <v>331</v>
      </c>
      <c r="I9" s="10">
        <v>22611</v>
      </c>
      <c r="J9" s="10">
        <v>-25690610.009841699</v>
      </c>
      <c r="K9" s="11"/>
      <c r="L9" s="11"/>
      <c r="M9" s="12"/>
      <c r="N9" s="12"/>
      <c r="Q9" s="11"/>
      <c r="R9" s="11"/>
      <c r="S9" s="11"/>
      <c r="T9" s="11"/>
    </row>
    <row r="10" spans="2:20" x14ac:dyDescent="0.3">
      <c r="B10" s="8">
        <v>3</v>
      </c>
      <c r="C10" s="8" t="s">
        <v>16</v>
      </c>
      <c r="D10" s="9" t="str">
        <f t="shared" si="0"/>
        <v>resumen_montos_facturados_TD_AR_CDpRGL_2507pre.xlsx</v>
      </c>
      <c r="E10" s="8" t="s">
        <v>16</v>
      </c>
      <c r="F10" s="10">
        <v>1450135.2</v>
      </c>
      <c r="G10" s="10">
        <v>7146435.966</v>
      </c>
      <c r="H10" s="10">
        <v>0</v>
      </c>
      <c r="I10" s="10">
        <v>30134.800999999999</v>
      </c>
      <c r="J10" s="10">
        <v>591350.83713453636</v>
      </c>
      <c r="K10" s="11"/>
      <c r="L10" s="11"/>
      <c r="M10" s="12"/>
      <c r="N10" s="12"/>
      <c r="Q10" s="11"/>
      <c r="R10" s="11"/>
      <c r="S10" s="11"/>
      <c r="T10" s="11"/>
    </row>
    <row r="11" spans="2:20" x14ac:dyDescent="0.3">
      <c r="B11" s="8">
        <v>4</v>
      </c>
      <c r="C11" s="8" t="s">
        <v>17</v>
      </c>
      <c r="D11" s="9" t="str">
        <f t="shared" si="0"/>
        <v>resumen_montos_facturados_TD_AR_CDpRGL_2507pre.xlsx</v>
      </c>
      <c r="E11" s="8" t="s">
        <v>17</v>
      </c>
      <c r="F11" s="10">
        <v>432958</v>
      </c>
      <c r="G11" s="10">
        <v>1507192</v>
      </c>
      <c r="H11" s="10">
        <v>0</v>
      </c>
      <c r="I11" s="10">
        <v>0</v>
      </c>
      <c r="J11" s="10">
        <v>-474520.71174357692</v>
      </c>
      <c r="K11" s="11"/>
      <c r="L11" s="11"/>
      <c r="M11" s="12"/>
      <c r="N11" s="12"/>
      <c r="Q11" s="11"/>
      <c r="R11" s="11"/>
      <c r="S11" s="11"/>
      <c r="T11" s="11"/>
    </row>
    <row r="12" spans="2:20" ht="12" customHeight="1" x14ac:dyDescent="0.3">
      <c r="B12" s="8">
        <v>5</v>
      </c>
      <c r="C12" s="8" t="s">
        <v>18</v>
      </c>
      <c r="D12" s="9" t="str">
        <f t="shared" si="0"/>
        <v>resumen_montos_facturados_TD_AR_CDpRGL_2507pre.xlsx</v>
      </c>
      <c r="E12" s="8" t="s">
        <v>18</v>
      </c>
      <c r="F12" s="10">
        <v>140039720.21649611</v>
      </c>
      <c r="G12" s="10">
        <v>529892016.51421052</v>
      </c>
      <c r="H12" s="10">
        <v>4485187.2450000001</v>
      </c>
      <c r="I12" s="10">
        <v>656771.76399999997</v>
      </c>
      <c r="J12" s="10">
        <v>21714927.45343883</v>
      </c>
      <c r="K12" s="11"/>
      <c r="L12" s="11"/>
      <c r="M12" s="12"/>
      <c r="N12" s="12"/>
      <c r="Q12" s="11"/>
      <c r="R12" s="11"/>
      <c r="S12" s="11"/>
      <c r="T12" s="11"/>
    </row>
    <row r="13" spans="2:20" x14ac:dyDescent="0.3">
      <c r="B13" s="8">
        <v>6</v>
      </c>
      <c r="C13" s="8" t="s">
        <v>19</v>
      </c>
      <c r="D13" s="9" t="str">
        <f t="shared" si="0"/>
        <v>resumen_montos_facturados_TD_AR_CDpRGL_2507pre.xlsx</v>
      </c>
      <c r="E13" s="8" t="s">
        <v>20</v>
      </c>
      <c r="F13" s="10">
        <v>276412.52100000001</v>
      </c>
      <c r="G13" s="10">
        <v>919955.61899999995</v>
      </c>
      <c r="H13" s="10">
        <v>0</v>
      </c>
      <c r="I13" s="10">
        <v>0</v>
      </c>
      <c r="J13" s="10">
        <v>87410.138928544824</v>
      </c>
      <c r="K13" s="11"/>
      <c r="L13" s="11"/>
      <c r="M13" s="12"/>
      <c r="N13" s="12"/>
      <c r="Q13" s="11"/>
      <c r="R13" s="11"/>
      <c r="S13" s="11"/>
      <c r="T13" s="11"/>
    </row>
    <row r="14" spans="2:20" x14ac:dyDescent="0.3">
      <c r="B14" s="8">
        <v>7</v>
      </c>
      <c r="C14" s="8" t="s">
        <v>21</v>
      </c>
      <c r="D14" s="9" t="str">
        <f t="shared" si="0"/>
        <v>resumen_montos_facturados_TD_AR_CDpRGL_2507pre.xlsx</v>
      </c>
      <c r="E14" s="8" t="s">
        <v>21</v>
      </c>
      <c r="F14" s="10">
        <v>10988646.189813221</v>
      </c>
      <c r="G14" s="10">
        <v>20872323.987</v>
      </c>
      <c r="H14" s="10">
        <v>432597.261</v>
      </c>
      <c r="I14" s="10">
        <v>33995.805</v>
      </c>
      <c r="J14" s="10">
        <v>887073.20475713327</v>
      </c>
      <c r="K14" s="11"/>
      <c r="L14" s="11"/>
      <c r="M14" s="12"/>
      <c r="N14" s="12"/>
      <c r="Q14" s="11"/>
      <c r="R14" s="11"/>
      <c r="S14" s="11"/>
      <c r="T14" s="11"/>
    </row>
    <row r="15" spans="2:20" x14ac:dyDescent="0.3">
      <c r="B15" s="8">
        <v>8</v>
      </c>
      <c r="C15" s="8" t="s">
        <v>22</v>
      </c>
      <c r="D15" s="9" t="str">
        <f t="shared" si="0"/>
        <v>resumen_montos_facturados_TD_AR_CDpRGL_2507pre.xlsx</v>
      </c>
      <c r="E15" s="8" t="s">
        <v>22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1"/>
      <c r="L15" s="11"/>
      <c r="M15" s="12"/>
      <c r="N15" s="12"/>
      <c r="Q15" s="11"/>
      <c r="R15" s="11"/>
      <c r="S15" s="11"/>
      <c r="T15" s="11"/>
    </row>
    <row r="16" spans="2:20" x14ac:dyDescent="0.3">
      <c r="B16" s="8">
        <v>9</v>
      </c>
      <c r="C16" s="8" t="s">
        <v>23</v>
      </c>
      <c r="D16" s="9" t="str">
        <f t="shared" si="0"/>
        <v>resumen_montos_facturados_TD_AR_CDpRGL_2507pre.xlsx</v>
      </c>
      <c r="E16" s="8" t="s">
        <v>23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1"/>
      <c r="L16" s="11"/>
      <c r="M16" s="12"/>
      <c r="N16" s="12"/>
      <c r="Q16" s="11"/>
      <c r="R16" s="11"/>
      <c r="S16" s="11"/>
      <c r="T16" s="11"/>
    </row>
    <row r="17" spans="2:20" x14ac:dyDescent="0.3">
      <c r="B17" s="8">
        <v>10</v>
      </c>
      <c r="C17" s="8" t="s">
        <v>24</v>
      </c>
      <c r="D17" s="9" t="str">
        <f t="shared" si="0"/>
        <v>resumen_montos_facturados_TD_AR_CDpRGL_2507pre.xlsx</v>
      </c>
      <c r="E17" s="8" t="s">
        <v>24</v>
      </c>
      <c r="F17" s="10">
        <v>102519781.286</v>
      </c>
      <c r="G17" s="10">
        <v>615678842.171</v>
      </c>
      <c r="H17" s="10">
        <v>422173.5</v>
      </c>
      <c r="I17" s="10">
        <v>944694.95</v>
      </c>
      <c r="J17" s="10">
        <v>55850650.34892448</v>
      </c>
      <c r="K17" s="11"/>
      <c r="L17" s="11"/>
      <c r="M17" s="12"/>
      <c r="N17" s="12"/>
      <c r="Q17" s="11"/>
      <c r="R17" s="11"/>
      <c r="S17" s="11"/>
      <c r="T17" s="11"/>
    </row>
    <row r="18" spans="2:20" x14ac:dyDescent="0.3">
      <c r="B18" s="8">
        <v>11</v>
      </c>
      <c r="C18" s="8" t="s">
        <v>25</v>
      </c>
      <c r="D18" s="9" t="str">
        <f t="shared" si="0"/>
        <v>resumen_montos_facturados_TD_AR_CDpRGL_2507pre.xlsx</v>
      </c>
      <c r="E18" s="8" t="s">
        <v>25</v>
      </c>
      <c r="F18" s="10">
        <v>49042</v>
      </c>
      <c r="G18" s="10">
        <v>494284.79999999999</v>
      </c>
      <c r="H18" s="10">
        <v>0</v>
      </c>
      <c r="I18" s="10">
        <v>82</v>
      </c>
      <c r="J18" s="10">
        <v>35460.15632794649</v>
      </c>
      <c r="K18" s="11"/>
      <c r="L18" s="11"/>
      <c r="M18" s="12"/>
      <c r="N18" s="12"/>
      <c r="Q18" s="11"/>
      <c r="R18" s="11"/>
      <c r="S18" s="11"/>
      <c r="T18" s="11"/>
    </row>
    <row r="19" spans="2:20" x14ac:dyDescent="0.3">
      <c r="B19" s="8">
        <v>12</v>
      </c>
      <c r="C19" s="8" t="s">
        <v>26</v>
      </c>
      <c r="D19" s="9" t="str">
        <f t="shared" si="0"/>
        <v>resumen_montos_facturados_TD_AR_CDpRGL_2507pre.xlsx</v>
      </c>
      <c r="E19" s="8" t="s">
        <v>26</v>
      </c>
      <c r="F19" s="10">
        <v>31118094.763999999</v>
      </c>
      <c r="G19" s="10">
        <v>75983954.803727269</v>
      </c>
      <c r="H19" s="10">
        <v>1218497.138</v>
      </c>
      <c r="I19" s="10">
        <v>136265.35399999999</v>
      </c>
      <c r="J19" s="10">
        <v>4926543.6610494927</v>
      </c>
      <c r="K19" s="11"/>
      <c r="L19" s="11"/>
      <c r="M19" s="12"/>
      <c r="N19" s="12"/>
      <c r="Q19" s="11"/>
      <c r="R19" s="11"/>
      <c r="S19" s="11"/>
      <c r="T19" s="11"/>
    </row>
    <row r="20" spans="2:20" x14ac:dyDescent="0.3">
      <c r="B20" s="8">
        <v>13</v>
      </c>
      <c r="C20" s="8" t="s">
        <v>27</v>
      </c>
      <c r="D20" s="9" t="str">
        <f t="shared" si="0"/>
        <v>resumen_montos_facturados_TD_AR_CDpRGL_2507pre.xlsx</v>
      </c>
      <c r="E20" s="8" t="s">
        <v>27</v>
      </c>
      <c r="F20" s="10">
        <v>3566656.8309999998</v>
      </c>
      <c r="G20" s="10">
        <v>21200534.309999999</v>
      </c>
      <c r="H20" s="10">
        <v>0</v>
      </c>
      <c r="I20" s="10">
        <v>14009.406000000001</v>
      </c>
      <c r="J20" s="10">
        <v>1667301.611908186</v>
      </c>
      <c r="K20" s="11"/>
      <c r="L20" s="11"/>
      <c r="M20" s="12"/>
      <c r="N20" s="12"/>
      <c r="Q20" s="11"/>
      <c r="R20" s="11"/>
      <c r="S20" s="11"/>
      <c r="T20" s="11"/>
    </row>
    <row r="21" spans="2:20" x14ac:dyDescent="0.3">
      <c r="B21" s="8">
        <v>14</v>
      </c>
      <c r="C21" s="8" t="s">
        <v>28</v>
      </c>
      <c r="D21" s="9" t="str">
        <f t="shared" si="0"/>
        <v>resumen_montos_facturados_TD_AR_CDpRGL_2507pre.xlsx</v>
      </c>
      <c r="E21" s="8" t="s">
        <v>28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1"/>
      <c r="L21" s="11"/>
      <c r="M21" s="12"/>
      <c r="N21" s="12"/>
      <c r="Q21" s="11"/>
      <c r="R21" s="11"/>
      <c r="S21" s="11"/>
      <c r="T21" s="11"/>
    </row>
    <row r="22" spans="2:20" x14ac:dyDescent="0.3">
      <c r="B22" s="8">
        <v>15</v>
      </c>
      <c r="C22" s="8" t="s">
        <v>29</v>
      </c>
      <c r="D22" s="9" t="str">
        <f t="shared" si="0"/>
        <v>resumen_montos_facturados_TD_AR_CDpRGL_2507pre.xlsx</v>
      </c>
      <c r="E22" s="8" t="s">
        <v>29</v>
      </c>
      <c r="F22" s="10">
        <v>1523795</v>
      </c>
      <c r="G22" s="10">
        <v>8934806</v>
      </c>
      <c r="H22" s="10">
        <v>9577</v>
      </c>
      <c r="I22" s="10">
        <v>6894</v>
      </c>
      <c r="J22" s="10">
        <v>-63794901.424660377</v>
      </c>
      <c r="K22" s="11"/>
      <c r="L22" s="11"/>
      <c r="M22" s="12"/>
      <c r="N22" s="12"/>
      <c r="Q22" s="11"/>
      <c r="R22" s="11"/>
      <c r="S22" s="11"/>
      <c r="T22" s="11"/>
    </row>
    <row r="23" spans="2:20" x14ac:dyDescent="0.3">
      <c r="B23" s="8">
        <v>16</v>
      </c>
      <c r="C23" s="8" t="s">
        <v>30</v>
      </c>
      <c r="D23" s="9" t="str">
        <f t="shared" si="0"/>
        <v>resumen_montos_facturados_TD_AR_CDpRGL_2507pre.xlsx</v>
      </c>
      <c r="E23" s="8" t="s">
        <v>30</v>
      </c>
      <c r="F23" s="10">
        <v>4014606</v>
      </c>
      <c r="G23" s="10">
        <v>13469914</v>
      </c>
      <c r="H23" s="10">
        <v>422455</v>
      </c>
      <c r="I23" s="10">
        <v>77115</v>
      </c>
      <c r="J23" s="10">
        <v>1301818.68659011</v>
      </c>
      <c r="K23" s="11"/>
      <c r="L23" s="11"/>
      <c r="M23" s="12"/>
      <c r="N23" s="12"/>
      <c r="Q23" s="11"/>
      <c r="R23" s="11"/>
      <c r="S23" s="11"/>
      <c r="T23" s="11"/>
    </row>
    <row r="24" spans="2:20" x14ac:dyDescent="0.3">
      <c r="B24" s="8">
        <v>17</v>
      </c>
      <c r="C24" s="8" t="s">
        <v>31</v>
      </c>
      <c r="D24" s="9" t="str">
        <f t="shared" si="0"/>
        <v>resumen_montos_facturados_TD_AR_CDpRGL_2507pre.xlsx</v>
      </c>
      <c r="E24" s="8" t="s">
        <v>31</v>
      </c>
      <c r="F24" s="10">
        <v>1635308</v>
      </c>
      <c r="G24" s="10">
        <v>16202203</v>
      </c>
      <c r="H24" s="10">
        <v>14</v>
      </c>
      <c r="I24" s="10">
        <v>58658</v>
      </c>
      <c r="J24" s="10">
        <v>1197449.4920929221</v>
      </c>
      <c r="K24" s="11"/>
      <c r="L24" s="11"/>
      <c r="M24" s="12"/>
      <c r="N24" s="12"/>
      <c r="Q24" s="11"/>
      <c r="R24" s="11"/>
      <c r="S24" s="11"/>
      <c r="T24" s="11"/>
    </row>
    <row r="25" spans="2:20" x14ac:dyDescent="0.3">
      <c r="B25" s="8">
        <v>18</v>
      </c>
      <c r="C25" s="8" t="s">
        <v>32</v>
      </c>
      <c r="D25" s="9" t="str">
        <f t="shared" si="0"/>
        <v>resumen_montos_facturados_TD_AR_CDpRGL_2507pre.xlsx</v>
      </c>
      <c r="E25" s="8" t="s">
        <v>32</v>
      </c>
      <c r="F25" s="10">
        <v>505561</v>
      </c>
      <c r="G25" s="10">
        <v>2537503</v>
      </c>
      <c r="H25" s="10">
        <v>104171</v>
      </c>
      <c r="I25" s="10">
        <v>25305</v>
      </c>
      <c r="J25" s="10">
        <v>-11992746.69517442</v>
      </c>
      <c r="K25" s="11"/>
      <c r="L25" s="11"/>
      <c r="M25" s="12"/>
      <c r="N25" s="12"/>
      <c r="Q25" s="11"/>
      <c r="R25" s="11"/>
      <c r="S25" s="11"/>
      <c r="T25" s="11"/>
    </row>
    <row r="26" spans="2:20" x14ac:dyDescent="0.3">
      <c r="B26" s="8">
        <v>19</v>
      </c>
      <c r="C26" s="8" t="s">
        <v>33</v>
      </c>
      <c r="D26" s="9" t="str">
        <f t="shared" si="0"/>
        <v>resumen_montos_facturados_TD_AR_CDpRGL_2507pre.xlsx</v>
      </c>
      <c r="E26" s="8" t="s">
        <v>33</v>
      </c>
      <c r="F26" s="10">
        <v>958365</v>
      </c>
      <c r="G26" s="10">
        <v>2268594</v>
      </c>
      <c r="H26" s="10">
        <v>45804</v>
      </c>
      <c r="I26" s="10">
        <v>5952</v>
      </c>
      <c r="J26" s="10">
        <v>-11304783.45530149</v>
      </c>
      <c r="K26" s="11"/>
      <c r="L26" s="11"/>
      <c r="M26" s="12"/>
      <c r="N26" s="12"/>
      <c r="Q26" s="11"/>
      <c r="R26" s="11"/>
      <c r="S26" s="11"/>
      <c r="T26" s="11"/>
    </row>
    <row r="27" spans="2:20" x14ac:dyDescent="0.3">
      <c r="B27" s="8">
        <v>20</v>
      </c>
      <c r="C27" s="8" t="s">
        <v>34</v>
      </c>
      <c r="D27" s="9" t="str">
        <f t="shared" si="0"/>
        <v>resumen_montos_facturados_TD_AR_CDpRGL_2507pre.xlsx</v>
      </c>
      <c r="E27" s="8" t="s">
        <v>34</v>
      </c>
      <c r="F27" s="10">
        <v>1141514</v>
      </c>
      <c r="G27" s="10">
        <v>7272511</v>
      </c>
      <c r="H27" s="10">
        <v>306813</v>
      </c>
      <c r="I27" s="10">
        <v>56871</v>
      </c>
      <c r="J27" s="10">
        <v>640780.2502178112</v>
      </c>
      <c r="K27" s="11"/>
      <c r="L27" s="11"/>
      <c r="M27" s="12"/>
      <c r="N27" s="12"/>
      <c r="Q27" s="11"/>
      <c r="R27" s="11"/>
      <c r="S27" s="11"/>
      <c r="T27" s="11"/>
    </row>
    <row r="28" spans="2:20" x14ac:dyDescent="0.3">
      <c r="B28" s="8">
        <v>21</v>
      </c>
      <c r="C28" s="8" t="s">
        <v>35</v>
      </c>
      <c r="D28" s="9" t="str">
        <f t="shared" si="0"/>
        <v>resumen_montos_facturados_TD_AR_CDpRGL_2507pre.xlsx</v>
      </c>
      <c r="E28" s="8" t="s">
        <v>35</v>
      </c>
      <c r="F28" s="10">
        <v>19411375.32</v>
      </c>
      <c r="G28" s="10">
        <v>66990517.640000001</v>
      </c>
      <c r="H28" s="10">
        <v>255093.88500000001</v>
      </c>
      <c r="I28" s="10">
        <v>88673.3</v>
      </c>
      <c r="J28" s="10">
        <v>6074198.7829265706</v>
      </c>
      <c r="K28" s="11"/>
      <c r="L28" s="11"/>
      <c r="M28" s="12"/>
      <c r="N28" s="12"/>
      <c r="Q28" s="11"/>
      <c r="R28" s="11"/>
      <c r="S28" s="11"/>
      <c r="T28" s="11"/>
    </row>
    <row r="29" spans="2:20" x14ac:dyDescent="0.3">
      <c r="B29" s="8">
        <v>22</v>
      </c>
      <c r="C29" s="8" t="s">
        <v>36</v>
      </c>
      <c r="D29" s="9" t="str">
        <f t="shared" si="0"/>
        <v>resumen_montos_facturados_TD_AR_CDpRGL_2507pre.xlsx</v>
      </c>
      <c r="E29" s="8" t="s">
        <v>36</v>
      </c>
      <c r="F29" s="10">
        <v>7103311.8200000003</v>
      </c>
      <c r="G29" s="10">
        <v>6977602.1600000001</v>
      </c>
      <c r="H29" s="10">
        <v>158069.54</v>
      </c>
      <c r="I29" s="10">
        <v>3495</v>
      </c>
      <c r="J29" s="10">
        <v>964917.10337472497</v>
      </c>
      <c r="K29" s="11"/>
      <c r="L29" s="11"/>
      <c r="M29" s="12"/>
      <c r="N29" s="12"/>
      <c r="Q29" s="11"/>
      <c r="R29" s="11"/>
      <c r="S29" s="11"/>
      <c r="T29" s="11"/>
    </row>
    <row r="30" spans="2:20" x14ac:dyDescent="0.3">
      <c r="B30" s="8">
        <v>23</v>
      </c>
      <c r="C30" s="8" t="s">
        <v>37</v>
      </c>
      <c r="D30" s="9" t="str">
        <f t="shared" si="0"/>
        <v>resumen_montos_facturados_TD_AR_CDpRGL_2507pre.xlsx</v>
      </c>
      <c r="E30" s="8" t="s">
        <v>37</v>
      </c>
      <c r="F30" s="10">
        <v>41853118.509999998</v>
      </c>
      <c r="G30" s="10">
        <v>119938812.62</v>
      </c>
      <c r="H30" s="10">
        <v>131234.23000000001</v>
      </c>
      <c r="I30" s="10">
        <v>68431.199999999997</v>
      </c>
      <c r="J30" s="10">
        <v>10811482.36499887</v>
      </c>
      <c r="K30" s="11"/>
      <c r="L30" s="11"/>
      <c r="M30" s="12"/>
      <c r="N30" s="12"/>
      <c r="Q30" s="11"/>
      <c r="R30" s="11"/>
      <c r="S30" s="11"/>
      <c r="T30" s="11"/>
    </row>
    <row r="31" spans="2:20" x14ac:dyDescent="0.3">
      <c r="B31" s="8">
        <v>24</v>
      </c>
      <c r="C31" s="8" t="s">
        <v>38</v>
      </c>
      <c r="D31" s="9" t="str">
        <f t="shared" si="0"/>
        <v>resumen_montos_facturados_TD_AR_CDpRGL_2507pre.xlsx</v>
      </c>
      <c r="E31" s="8" t="s">
        <v>38</v>
      </c>
      <c r="F31" s="10">
        <v>1561983</v>
      </c>
      <c r="G31" s="10">
        <v>3175679</v>
      </c>
      <c r="H31" s="10">
        <v>38836</v>
      </c>
      <c r="I31" s="10">
        <v>7521</v>
      </c>
      <c r="J31" s="10">
        <v>317463.13384454808</v>
      </c>
      <c r="K31" s="11"/>
      <c r="L31" s="11"/>
      <c r="M31" s="12"/>
      <c r="N31" s="12"/>
      <c r="Q31" s="11"/>
      <c r="R31" s="11"/>
      <c r="S31" s="11"/>
      <c r="T31" s="11"/>
    </row>
    <row r="32" spans="2:20" x14ac:dyDescent="0.3">
      <c r="B32" s="8">
        <v>25</v>
      </c>
      <c r="C32" s="8" t="s">
        <v>39</v>
      </c>
      <c r="D32" s="9" t="str">
        <f t="shared" si="0"/>
        <v>resumen_montos_facturados_TD_AR_CDpRGL_2507pre.xlsx</v>
      </c>
      <c r="E32" s="8" t="s">
        <v>39</v>
      </c>
      <c r="F32" s="10">
        <v>32588324.995099999</v>
      </c>
      <c r="G32" s="10">
        <v>148014930.39161</v>
      </c>
      <c r="H32" s="10">
        <v>2069235.4</v>
      </c>
      <c r="I32" s="10">
        <v>455407.5</v>
      </c>
      <c r="J32" s="10">
        <v>18122063.354840118</v>
      </c>
      <c r="K32" s="11"/>
      <c r="L32" s="11"/>
      <c r="M32" s="12"/>
      <c r="N32" s="12"/>
      <c r="Q32" s="11"/>
      <c r="R32" s="11"/>
      <c r="S32" s="11"/>
      <c r="T32" s="11"/>
    </row>
    <row r="33" spans="2:20" x14ac:dyDescent="0.3">
      <c r="B33" s="8">
        <v>26</v>
      </c>
      <c r="C33" s="8" t="s">
        <v>40</v>
      </c>
      <c r="D33" s="9" t="str">
        <f t="shared" si="0"/>
        <v>resumen_montos_facturados_TD_AR_CDpRGL_2507pre.xlsx</v>
      </c>
      <c r="E33" s="8" t="s">
        <v>40</v>
      </c>
      <c r="F33" s="10">
        <v>965055.20000000007</v>
      </c>
      <c r="G33" s="10">
        <v>1955688.6</v>
      </c>
      <c r="H33" s="10">
        <v>31979</v>
      </c>
      <c r="I33" s="10">
        <v>78519.100000000006</v>
      </c>
      <c r="J33" s="10">
        <v>199565.62361331881</v>
      </c>
      <c r="K33" s="11"/>
      <c r="L33" s="11"/>
      <c r="M33" s="12"/>
      <c r="N33" s="12"/>
      <c r="Q33" s="11"/>
      <c r="R33" s="11"/>
      <c r="S33" s="11"/>
      <c r="T33" s="11"/>
    </row>
    <row r="34" spans="2:20" x14ac:dyDescent="0.3">
      <c r="B34" s="8">
        <v>27</v>
      </c>
      <c r="C34" s="8" t="s">
        <v>41</v>
      </c>
      <c r="D34" s="9" t="str">
        <f t="shared" si="0"/>
        <v>resumen_montos_facturados_TD_AR_CDpRGL_2507pre.xlsx</v>
      </c>
      <c r="E34" s="8" t="s">
        <v>41</v>
      </c>
      <c r="F34" s="10">
        <v>1334873.7</v>
      </c>
      <c r="G34" s="10">
        <v>10186127.682399999</v>
      </c>
      <c r="H34" s="10">
        <v>6799</v>
      </c>
      <c r="I34" s="10">
        <v>28421</v>
      </c>
      <c r="J34" s="10">
        <v>974106.15534111124</v>
      </c>
      <c r="K34" s="11"/>
      <c r="L34" s="11"/>
      <c r="M34" s="12"/>
      <c r="N34" s="12"/>
      <c r="Q34" s="11"/>
      <c r="R34" s="11"/>
      <c r="S34" s="11"/>
      <c r="T34" s="11"/>
    </row>
    <row r="35" spans="2:20" x14ac:dyDescent="0.3">
      <c r="B35" s="8">
        <v>28</v>
      </c>
      <c r="C35" s="8" t="s">
        <v>42</v>
      </c>
      <c r="D35" s="9" t="str">
        <f t="shared" si="0"/>
        <v>resumen_montos_facturados_TD_AR_CDpRGL_2507pre.xlsx</v>
      </c>
      <c r="E35" s="8" t="s">
        <v>42</v>
      </c>
      <c r="F35" s="10">
        <v>1944676.7</v>
      </c>
      <c r="G35" s="10">
        <v>6762805.0692999996</v>
      </c>
      <c r="H35" s="10">
        <v>321051.90000000002</v>
      </c>
      <c r="I35" s="10">
        <v>17759.500100000001</v>
      </c>
      <c r="J35" s="10">
        <v>686338.14572346653</v>
      </c>
      <c r="K35" s="11"/>
      <c r="L35" s="11"/>
      <c r="M35" s="12"/>
      <c r="N35" s="12"/>
      <c r="Q35" s="11"/>
      <c r="R35" s="11"/>
      <c r="S35" s="11"/>
      <c r="T35" s="11"/>
    </row>
    <row r="36" spans="2:20" x14ac:dyDescent="0.3">
      <c r="B36" s="8">
        <v>29</v>
      </c>
      <c r="C36" s="8" t="s">
        <v>43</v>
      </c>
      <c r="D36" s="9" t="str">
        <f t="shared" si="0"/>
        <v>resumen_montos_facturados_TD_AR_CDpRGL_2507pre.xlsx</v>
      </c>
      <c r="E36" s="8" t="s">
        <v>43</v>
      </c>
      <c r="F36" s="10">
        <v>1579257.0001000001</v>
      </c>
      <c r="G36" s="10">
        <v>4465484.6717999997</v>
      </c>
      <c r="H36" s="10">
        <v>452815</v>
      </c>
      <c r="I36" s="10">
        <v>41824</v>
      </c>
      <c r="J36" s="10">
        <v>367068.35555351689</v>
      </c>
      <c r="K36" s="11"/>
      <c r="L36" s="11"/>
      <c r="M36" s="12"/>
      <c r="N36" s="12"/>
      <c r="Q36" s="11"/>
      <c r="R36" s="11"/>
      <c r="S36" s="11"/>
      <c r="T36" s="11"/>
    </row>
    <row r="37" spans="2:20" x14ac:dyDescent="0.3">
      <c r="B37" s="8">
        <v>30</v>
      </c>
      <c r="C37" s="8" t="s">
        <v>44</v>
      </c>
      <c r="D37" s="9" t="str">
        <f t="shared" si="0"/>
        <v>resumen_montos_facturados_TD_AR_CDpRGL_2507pre.xlsx</v>
      </c>
      <c r="E37" s="8" t="s">
        <v>45</v>
      </c>
      <c r="F37" s="10">
        <v>476010</v>
      </c>
      <c r="G37" s="10">
        <v>960144</v>
      </c>
      <c r="H37" s="10">
        <v>29248</v>
      </c>
      <c r="I37" s="10">
        <v>7810.9999999999991</v>
      </c>
      <c r="J37" s="10">
        <v>108526.2629082023</v>
      </c>
      <c r="K37" s="11"/>
      <c r="L37" s="11"/>
      <c r="M37" s="12"/>
      <c r="N37" s="12"/>
      <c r="Q37" s="11"/>
      <c r="R37" s="11"/>
      <c r="S37" s="11"/>
      <c r="T37" s="11"/>
    </row>
    <row r="38" spans="2:20" x14ac:dyDescent="0.3">
      <c r="B38" s="8">
        <v>31</v>
      </c>
      <c r="C38" s="8" t="s">
        <v>46</v>
      </c>
      <c r="D38" s="9" t="str">
        <f t="shared" si="0"/>
        <v>resumen_montos_facturados_TD_AR_CDpRGL_2507pre.xlsx</v>
      </c>
      <c r="E38" s="8" t="s">
        <v>46</v>
      </c>
      <c r="F38" s="10">
        <v>4606619.6179999998</v>
      </c>
      <c r="G38" s="10">
        <v>17085954.833999999</v>
      </c>
      <c r="H38" s="10">
        <v>20098.5</v>
      </c>
      <c r="I38" s="10">
        <v>26831.017</v>
      </c>
      <c r="J38" s="10">
        <v>1420127.5851320331</v>
      </c>
      <c r="K38" s="11"/>
      <c r="L38" s="11"/>
      <c r="M38" s="12"/>
      <c r="N38" s="12"/>
      <c r="Q38" s="11"/>
      <c r="R38" s="11"/>
      <c r="S38" s="11"/>
      <c r="T38" s="11"/>
    </row>
    <row r="39" spans="2:20" x14ac:dyDescent="0.3">
      <c r="B39" s="8">
        <v>32</v>
      </c>
      <c r="C39" s="8" t="s">
        <v>47</v>
      </c>
      <c r="D39" s="9" t="str">
        <f t="shared" si="0"/>
        <v>resumen_montos_facturados_TD_AR_CDpRGL_2507pre.xlsx</v>
      </c>
      <c r="E39" s="8" t="s">
        <v>47</v>
      </c>
      <c r="F39" s="10">
        <v>6151912.9299999997</v>
      </c>
      <c r="G39" s="10">
        <v>27401454.534000002</v>
      </c>
      <c r="H39" s="10">
        <v>26322.780999999999</v>
      </c>
      <c r="I39" s="10">
        <v>13555.007</v>
      </c>
      <c r="J39" s="10">
        <v>3121551.1871553529</v>
      </c>
      <c r="K39" s="11"/>
      <c r="L39" s="11"/>
      <c r="M39" s="12"/>
      <c r="N39" s="12"/>
      <c r="Q39" s="11"/>
      <c r="R39" s="11"/>
      <c r="S39" s="11"/>
      <c r="T39" s="11"/>
    </row>
    <row r="40" spans="2:20" x14ac:dyDescent="0.3">
      <c r="B40" s="8">
        <v>33</v>
      </c>
      <c r="C40" s="8" t="s">
        <v>48</v>
      </c>
      <c r="D40" s="9" t="str">
        <f t="shared" si="0"/>
        <v>resumen_montos_facturados_TD_AR_CDpRGL_2507pre.xlsx</v>
      </c>
      <c r="E40" s="8" t="s">
        <v>48</v>
      </c>
      <c r="F40" s="10">
        <v>15361392.927999999</v>
      </c>
      <c r="G40" s="10">
        <v>53882088.978</v>
      </c>
      <c r="H40" s="10">
        <v>52005.78</v>
      </c>
      <c r="I40" s="10">
        <v>42190.247000000003</v>
      </c>
      <c r="J40" s="10">
        <v>6386644.241654247</v>
      </c>
      <c r="K40" s="11"/>
      <c r="L40" s="11"/>
      <c r="M40" s="12"/>
      <c r="N40" s="12"/>
      <c r="Q40" s="11"/>
      <c r="R40" s="11"/>
      <c r="S40" s="11"/>
      <c r="T40" s="11"/>
    </row>
    <row r="41" spans="2:20" x14ac:dyDescent="0.3">
      <c r="B41" s="8">
        <v>34</v>
      </c>
      <c r="C41" s="8" t="s">
        <v>49</v>
      </c>
      <c r="D41" s="9" t="str">
        <f t="shared" si="0"/>
        <v>resumen_montos_facturados_TD_AR_CDpRGL_2507pre.xlsx</v>
      </c>
      <c r="E41" s="8" t="s">
        <v>49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1"/>
      <c r="L41" s="11"/>
      <c r="M41" s="12"/>
      <c r="N41" s="12"/>
      <c r="Q41" s="11"/>
      <c r="R41" s="11"/>
      <c r="S41" s="11"/>
      <c r="T41" s="11"/>
    </row>
    <row r="42" spans="2:20" x14ac:dyDescent="0.3">
      <c r="B42" s="8">
        <v>35</v>
      </c>
      <c r="C42" s="8" t="s">
        <v>50</v>
      </c>
      <c r="D42" s="9" t="str">
        <f t="shared" si="0"/>
        <v>resumen_montos_facturados_TD_AR_CDpRGL_2507pre.xlsx</v>
      </c>
      <c r="E42" s="8" t="s">
        <v>50</v>
      </c>
      <c r="F42" s="10">
        <v>0</v>
      </c>
      <c r="G42" s="10">
        <v>14866</v>
      </c>
      <c r="H42" s="10">
        <v>0</v>
      </c>
      <c r="I42" s="10">
        <v>0</v>
      </c>
      <c r="J42" s="10">
        <v>1010.649707610968</v>
      </c>
      <c r="K42" s="11"/>
      <c r="L42" s="11"/>
      <c r="M42" s="12"/>
      <c r="N42" s="12"/>
      <c r="Q42" s="11"/>
      <c r="R42" s="11"/>
      <c r="S42" s="11"/>
      <c r="T42" s="11"/>
    </row>
    <row r="43" spans="2:20" x14ac:dyDescent="0.3">
      <c r="B43" s="8">
        <v>36</v>
      </c>
      <c r="C43" s="8" t="s">
        <v>51</v>
      </c>
      <c r="D43" s="9" t="str">
        <f t="shared" si="0"/>
        <v>resumen_montos_facturados_TD_AR_CDpRGL_2507pre.xlsx</v>
      </c>
      <c r="E43" s="8" t="s">
        <v>51</v>
      </c>
      <c r="F43" s="10">
        <v>32785.800000000003</v>
      </c>
      <c r="G43" s="10">
        <v>63849.4</v>
      </c>
      <c r="H43" s="10">
        <v>0</v>
      </c>
      <c r="I43" s="10">
        <v>0</v>
      </c>
      <c r="J43" s="10">
        <v>6249.3387765818516</v>
      </c>
      <c r="K43" s="11"/>
      <c r="L43" s="11"/>
      <c r="M43" s="12"/>
      <c r="N43" s="12"/>
      <c r="Q43" s="11"/>
      <c r="R43" s="11"/>
      <c r="S43" s="11"/>
      <c r="T43" s="11"/>
    </row>
    <row r="44" spans="2:20" x14ac:dyDescent="0.3">
      <c r="B44" s="13" t="s">
        <v>52</v>
      </c>
      <c r="C44" s="14"/>
      <c r="D44" s="14"/>
      <c r="E44" s="15"/>
      <c r="F44" s="16">
        <f>SUM(F8:F43)</f>
        <v>437574210.52950925</v>
      </c>
      <c r="G44" s="16">
        <f>SUM(G8:G43)</f>
        <v>1798945383.7520473</v>
      </c>
      <c r="H44" s="16">
        <f>SUM(H8:H43)</f>
        <v>11167198.16</v>
      </c>
      <c r="I44" s="16">
        <f>SUM(I8:I43)</f>
        <v>2968546.9511000002</v>
      </c>
      <c r="J44" s="16">
        <f>SUM(J8:J43)</f>
        <v>2010088.3337196058</v>
      </c>
      <c r="K44" s="11"/>
      <c r="L44" s="11"/>
      <c r="M44" s="12"/>
      <c r="N44" s="12"/>
      <c r="Q44" s="11"/>
      <c r="R44" s="11"/>
      <c r="S44" s="11"/>
      <c r="T44" s="11"/>
    </row>
    <row r="45" spans="2:20" x14ac:dyDescent="0.3">
      <c r="L45" s="11"/>
      <c r="M45" s="12"/>
      <c r="N45" s="12"/>
    </row>
  </sheetData>
  <mergeCells count="6">
    <mergeCell ref="E2:F2"/>
    <mergeCell ref="B3:C3"/>
    <mergeCell ref="B6:B7"/>
    <mergeCell ref="C6:C7"/>
    <mergeCell ref="D6:D7"/>
    <mergeCell ref="E6:E7"/>
  </mergeCells>
  <dataValidations count="1">
    <dataValidation type="list" showInputMessage="1" showErrorMessage="1" sqref="G2" xr:uid="{4FF3A7D3-26EF-4BC8-9FAA-27362AE5A986}">
      <formula1>"pre,def"</formula1>
    </dataValidation>
  </dataValidations>
  <pageMargins left="0.75" right="0.75" top="1" bottom="1" header="0" footer="0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85FE8-E5D1-4AB5-BE4B-4B370AC9A539}">
  <sheetPr codeName="Hoja12">
    <tabColor theme="7" tint="0.79998168889431442"/>
  </sheetPr>
  <dimension ref="B2:Q52"/>
  <sheetViews>
    <sheetView showGridLines="0" zoomScale="85" zoomScaleNormal="85" workbookViewId="0">
      <selection activeCell="A54" sqref="A54"/>
    </sheetView>
  </sheetViews>
  <sheetFormatPr baseColWidth="10" defaultColWidth="11.3984375" defaultRowHeight="13" x14ac:dyDescent="0.3"/>
  <cols>
    <col min="1" max="1" width="6.59765625" style="20" customWidth="1"/>
    <col min="2" max="2" width="24.8984375" style="20" customWidth="1"/>
    <col min="3" max="3" width="11.59765625" style="20" bestFit="1" customWidth="1"/>
    <col min="4" max="4" width="13.09765625" style="20" bestFit="1" customWidth="1"/>
    <col min="5" max="5" width="12.59765625" style="20" customWidth="1"/>
    <col min="6" max="6" width="11.296875" style="20" customWidth="1"/>
    <col min="7" max="7" width="12.09765625" style="20" bestFit="1" customWidth="1"/>
    <col min="8" max="8" width="12.59765625" style="20" customWidth="1"/>
    <col min="9" max="9" width="13.8984375" style="20" customWidth="1"/>
    <col min="10" max="10" width="12.8984375" style="20" customWidth="1"/>
    <col min="11" max="11" width="13.8984375" style="20" customWidth="1"/>
    <col min="12" max="12" width="14.09765625" style="20" customWidth="1"/>
    <col min="13" max="13" width="11.59765625" style="20" bestFit="1" customWidth="1"/>
    <col min="14" max="14" width="14.3984375" style="20" customWidth="1"/>
    <col min="15" max="15" width="15.3984375" style="20" customWidth="1"/>
    <col min="16" max="16" width="11.69921875" style="20" customWidth="1"/>
    <col min="17" max="17" width="12.3984375" style="20" bestFit="1" customWidth="1"/>
    <col min="18" max="18" width="23.8984375" style="20" customWidth="1"/>
    <col min="19" max="16384" width="11.3984375" style="20"/>
  </cols>
  <sheetData>
    <row r="2" spans="2:17" x14ac:dyDescent="0.3">
      <c r="B2" s="19" t="s">
        <v>95</v>
      </c>
      <c r="C2" s="19"/>
      <c r="D2" s="19"/>
    </row>
    <row r="3" spans="2:17" x14ac:dyDescent="0.3">
      <c r="B3" s="21">
        <f>FechaFacturacion</f>
        <v>45839</v>
      </c>
      <c r="C3" s="22"/>
      <c r="D3" s="22"/>
      <c r="I3" s="23" t="s">
        <v>57</v>
      </c>
      <c r="J3" s="24"/>
      <c r="K3" s="24"/>
    </row>
    <row r="4" spans="2:17" x14ac:dyDescent="0.3">
      <c r="B4" s="25"/>
      <c r="D4" s="22"/>
      <c r="I4" s="26">
        <f>'Reliquidación TD'!$I$4</f>
        <v>8.7295690936106674E-3</v>
      </c>
      <c r="J4" s="27"/>
      <c r="K4" s="27"/>
    </row>
    <row r="6" spans="2:17" ht="12.75" customHeight="1" x14ac:dyDescent="0.3">
      <c r="B6" s="29" t="s">
        <v>6</v>
      </c>
      <c r="C6" s="29" t="s">
        <v>7</v>
      </c>
      <c r="D6" s="29" t="s">
        <v>8</v>
      </c>
      <c r="E6" s="29" t="s">
        <v>9</v>
      </c>
      <c r="F6" s="29" t="s">
        <v>10</v>
      </c>
      <c r="G6" s="29" t="s">
        <v>55</v>
      </c>
      <c r="H6" s="29" t="str">
        <f>"Saldo "&amp;TEXT(B3-1,"mmmmmmmmmm")</f>
        <v>Saldo junio</v>
      </c>
      <c r="I6" s="29" t="s">
        <v>58</v>
      </c>
      <c r="J6" s="29" t="s">
        <v>59</v>
      </c>
      <c r="K6" s="29" t="s">
        <v>60</v>
      </c>
      <c r="L6" s="30" t="s">
        <v>55</v>
      </c>
      <c r="M6" s="29" t="s">
        <v>89</v>
      </c>
      <c r="N6" s="31" t="s">
        <v>90</v>
      </c>
      <c r="O6" s="29" t="s">
        <v>64</v>
      </c>
      <c r="P6" s="29" t="s">
        <v>65</v>
      </c>
    </row>
    <row r="7" spans="2:17" x14ac:dyDescent="0.3">
      <c r="B7" s="33"/>
      <c r="C7" s="34"/>
      <c r="D7" s="34"/>
      <c r="E7" s="34"/>
      <c r="F7" s="34"/>
      <c r="G7" s="34"/>
      <c r="H7" s="35"/>
      <c r="I7" s="34"/>
      <c r="J7" s="34"/>
      <c r="K7" s="34"/>
      <c r="L7" s="30"/>
      <c r="M7" s="34"/>
      <c r="N7" s="36"/>
      <c r="O7" s="34"/>
      <c r="P7" s="34"/>
    </row>
    <row r="8" spans="2:17" ht="13.5" customHeight="1" x14ac:dyDescent="0.3">
      <c r="B8" s="33"/>
      <c r="C8" s="37" t="s">
        <v>12</v>
      </c>
      <c r="D8" s="37" t="s">
        <v>12</v>
      </c>
      <c r="E8" s="37" t="s">
        <v>12</v>
      </c>
      <c r="F8" s="37" t="s">
        <v>12</v>
      </c>
      <c r="G8" s="37" t="s">
        <v>13</v>
      </c>
      <c r="H8" s="37" t="s">
        <v>13</v>
      </c>
      <c r="I8" s="37" t="s">
        <v>13</v>
      </c>
      <c r="J8" s="37" t="s">
        <v>13</v>
      </c>
      <c r="K8" s="37" t="s">
        <v>13</v>
      </c>
      <c r="L8" s="37" t="s">
        <v>13</v>
      </c>
      <c r="M8" s="37" t="s">
        <v>13</v>
      </c>
      <c r="N8" s="38" t="s">
        <v>13</v>
      </c>
      <c r="O8" s="39" t="s">
        <v>13</v>
      </c>
      <c r="P8" s="39" t="s">
        <v>13</v>
      </c>
    </row>
    <row r="9" spans="2:17" x14ac:dyDescent="0.3">
      <c r="B9" s="40" t="s">
        <v>14</v>
      </c>
      <c r="C9" s="41">
        <f>SUMIF('Entrada 7TRAN'!$E$8:$E$43,'Reliquidación 7TRAN'!$B9,'Entrada 7TRAN'!F$8:F$43)</f>
        <v>1585091</v>
      </c>
      <c r="D9" s="41">
        <f>SUMIF('Entrada 7TRAN'!$E$8:$E$43,'Reliquidación 7TRAN'!$B9,'Entrada 7TRAN'!G$8:G$43)</f>
        <v>3507003</v>
      </c>
      <c r="E9" s="41">
        <f>SUMIF('Entrada 7TRAN'!$E$8:$E$43,'Reliquidación 7TRAN'!$B9,'Entrada 7TRAN'!H$8:H$43)</f>
        <v>126789</v>
      </c>
      <c r="F9" s="41">
        <f>SUMIF('Entrada 7TRAN'!$E$8:$E$43,'Reliquidación 7TRAN'!$B9,'Entrada 7TRAN'!I$8:I$43)</f>
        <v>18748</v>
      </c>
      <c r="G9" s="41">
        <f>SUMIF('Entrada 7TRAN'!$E$8:$E$43,'Reliquidación 7TRAN'!$B9,'Entrada 7TRAN'!J$8:J$43)</f>
        <v>3730815.4610179458</v>
      </c>
      <c r="H9" s="41">
        <v>3856450.691616036</v>
      </c>
      <c r="I9" s="41">
        <f t="shared" ref="I9:I43" si="0">H9*($I$4+1)</f>
        <v>3890115.8443846009</v>
      </c>
      <c r="J9" s="41">
        <v>0</v>
      </c>
      <c r="K9" s="41">
        <f>+J9*($I$4+1)</f>
        <v>0</v>
      </c>
      <c r="L9" s="41">
        <f>G9+I9+K9</f>
        <v>7620931.3054025471</v>
      </c>
      <c r="M9" s="41">
        <f>IF(L9&lt;0,-L9,0)</f>
        <v>0</v>
      </c>
      <c r="N9" s="41">
        <f>IF(L9&gt;0,L9,0)</f>
        <v>7620931.3054025471</v>
      </c>
      <c r="O9" s="41">
        <f>IF(OR($M$44=0,$N$44=0),0,((M9/$M$44-N9/$N$44)*$N$49))</f>
        <v>-5426113.901595775</v>
      </c>
      <c r="P9" s="41">
        <f>L9+O9</f>
        <v>2194817.4038067721</v>
      </c>
      <c r="Q9" s="86"/>
    </row>
    <row r="10" spans="2:17" x14ac:dyDescent="0.3">
      <c r="B10" s="42" t="s">
        <v>15</v>
      </c>
      <c r="C10" s="43">
        <f>SUMIF('Entrada 7TRAN'!$E$8:$E$43,'Reliquidación 7TRAN'!$B10,'Entrada 7TRAN'!F$8:F$43)</f>
        <v>797826</v>
      </c>
      <c r="D10" s="43">
        <f>SUMIF('Entrada 7TRAN'!$E$8:$E$43,'Reliquidación 7TRAN'!$B10,'Entrada 7TRAN'!G$8:G$43)</f>
        <v>3181304</v>
      </c>
      <c r="E10" s="43">
        <f>SUMIF('Entrada 7TRAN'!$E$8:$E$43,'Reliquidación 7TRAN'!$B10,'Entrada 7TRAN'!H$8:H$43)</f>
        <v>331</v>
      </c>
      <c r="F10" s="43">
        <f>SUMIF('Entrada 7TRAN'!$E$8:$E$43,'Reliquidación 7TRAN'!$B10,'Entrada 7TRAN'!I$8:I$43)</f>
        <v>22611</v>
      </c>
      <c r="G10" s="43">
        <f>SUMIF('Entrada 7TRAN'!$E$8:$E$43,'Reliquidación 7TRAN'!$B10,'Entrada 7TRAN'!J$8:J$43)</f>
        <v>2660126.36865129</v>
      </c>
      <c r="H10" s="43">
        <v>2518668.4550100272</v>
      </c>
      <c r="I10" s="43">
        <f t="shared" si="0"/>
        <v>2540655.3453119346</v>
      </c>
      <c r="J10" s="43">
        <v>0</v>
      </c>
      <c r="K10" s="43">
        <f t="shared" ref="K10:K43" si="1">+J10*($I$4+1)</f>
        <v>0</v>
      </c>
      <c r="L10" s="43">
        <f t="shared" ref="L10:L43" si="2">G10+I10+K10</f>
        <v>5200781.7139632246</v>
      </c>
      <c r="M10" s="43">
        <f t="shared" ref="M10:M43" si="3">IF(L10&lt;0,-L10,0)</f>
        <v>0</v>
      </c>
      <c r="N10" s="43">
        <f>IF(L10&gt;0,L10,0)</f>
        <v>5200781.7139632246</v>
      </c>
      <c r="O10" s="43">
        <f t="shared" ref="O10:O42" si="4">IF(OR($M$44=0,$N$44=0),0,((M10/$M$44-N10/$N$44)*$N$49))</f>
        <v>-3702963.9589187112</v>
      </c>
      <c r="P10" s="43">
        <f t="shared" ref="P10:P43" si="5">L10+O10</f>
        <v>1497817.7550445134</v>
      </c>
      <c r="Q10" s="86"/>
    </row>
    <row r="11" spans="2:17" x14ac:dyDescent="0.3">
      <c r="B11" s="42" t="s">
        <v>16</v>
      </c>
      <c r="C11" s="43">
        <f>SUMIF('Entrada 7TRAN'!$E$8:$E$43,'Reliquidación 7TRAN'!$B11,'Entrada 7TRAN'!F$8:F$43)</f>
        <v>1450135.2</v>
      </c>
      <c r="D11" s="43">
        <f>SUMIF('Entrada 7TRAN'!$E$8:$E$43,'Reliquidación 7TRAN'!$B11,'Entrada 7TRAN'!G$8:G$43)</f>
        <v>7146435.966</v>
      </c>
      <c r="E11" s="43">
        <f>SUMIF('Entrada 7TRAN'!$E$8:$E$43,'Reliquidación 7TRAN'!$B11,'Entrada 7TRAN'!H$8:H$43)</f>
        <v>0</v>
      </c>
      <c r="F11" s="43">
        <f>SUMIF('Entrada 7TRAN'!$E$8:$E$43,'Reliquidación 7TRAN'!$B11,'Entrada 7TRAN'!I$8:I$43)</f>
        <v>30134.800999999999</v>
      </c>
      <c r="G11" s="43">
        <f>SUMIF('Entrada 7TRAN'!$E$8:$E$43,'Reliquidación 7TRAN'!$B11,'Entrada 7TRAN'!J$8:J$43)</f>
        <v>7030699.5237599518</v>
      </c>
      <c r="H11" s="43">
        <v>5301531.0369596574</v>
      </c>
      <c r="I11" s="43">
        <f t="shared" si="0"/>
        <v>5347811.1184487185</v>
      </c>
      <c r="J11" s="43">
        <v>0</v>
      </c>
      <c r="K11" s="43">
        <f t="shared" si="1"/>
        <v>0</v>
      </c>
      <c r="L11" s="43">
        <f t="shared" si="2"/>
        <v>12378510.642208669</v>
      </c>
      <c r="M11" s="43">
        <f t="shared" si="3"/>
        <v>0</v>
      </c>
      <c r="N11" s="43">
        <f t="shared" ref="N11:N43" si="6">IF(L11&gt;0,L11,0)</f>
        <v>12378510.642208669</v>
      </c>
      <c r="O11" s="43">
        <f t="shared" si="4"/>
        <v>-8813517.1391879972</v>
      </c>
      <c r="P11" s="43">
        <f t="shared" si="5"/>
        <v>3564993.5030206721</v>
      </c>
      <c r="Q11" s="86"/>
    </row>
    <row r="12" spans="2:17" x14ac:dyDescent="0.3">
      <c r="B12" s="42" t="s">
        <v>17</v>
      </c>
      <c r="C12" s="43">
        <f>SUMIF('Entrada 7TRAN'!$E$8:$E$43,'Reliquidación 7TRAN'!$B12,'Entrada 7TRAN'!F$8:F$43)</f>
        <v>432958</v>
      </c>
      <c r="D12" s="43">
        <f>SUMIF('Entrada 7TRAN'!$E$8:$E$43,'Reliquidación 7TRAN'!$B12,'Entrada 7TRAN'!G$8:G$43)</f>
        <v>1507192</v>
      </c>
      <c r="E12" s="43">
        <f>SUMIF('Entrada 7TRAN'!$E$8:$E$43,'Reliquidación 7TRAN'!$B12,'Entrada 7TRAN'!H$8:H$43)</f>
        <v>0</v>
      </c>
      <c r="F12" s="43">
        <f>SUMIF('Entrada 7TRAN'!$E$8:$E$43,'Reliquidación 7TRAN'!$B12,'Entrada 7TRAN'!I$8:I$43)</f>
        <v>0</v>
      </c>
      <c r="G12" s="43">
        <f>SUMIF('Entrada 7TRAN'!$E$8:$E$43,'Reliquidación 7TRAN'!$B12,'Entrada 7TRAN'!J$8:J$43)</f>
        <v>1732492.990608755</v>
      </c>
      <c r="H12" s="43">
        <v>1228201.7986517213</v>
      </c>
      <c r="I12" s="43">
        <f t="shared" si="0"/>
        <v>1238923.4711139484</v>
      </c>
      <c r="J12" s="43">
        <v>0</v>
      </c>
      <c r="K12" s="43">
        <f t="shared" si="1"/>
        <v>0</v>
      </c>
      <c r="L12" s="43">
        <f t="shared" si="2"/>
        <v>2971416.4617227037</v>
      </c>
      <c r="M12" s="43">
        <f t="shared" si="3"/>
        <v>0</v>
      </c>
      <c r="N12" s="43">
        <f t="shared" si="6"/>
        <v>2971416.4617227037</v>
      </c>
      <c r="O12" s="43">
        <f t="shared" si="4"/>
        <v>-2115652.7364252945</v>
      </c>
      <c r="P12" s="43">
        <f t="shared" si="5"/>
        <v>855763.72529740911</v>
      </c>
      <c r="Q12" s="86"/>
    </row>
    <row r="13" spans="2:17" x14ac:dyDescent="0.3">
      <c r="B13" s="42" t="s">
        <v>18</v>
      </c>
      <c r="C13" s="43">
        <f>SUMIF('Entrada 7TRAN'!$E$8:$E$43,'Reliquidación 7TRAN'!$B13,'Entrada 7TRAN'!F$8:F$43)</f>
        <v>140039720.21649611</v>
      </c>
      <c r="D13" s="43">
        <f>SUMIF('Entrada 7TRAN'!$E$8:$E$43,'Reliquidación 7TRAN'!$B13,'Entrada 7TRAN'!G$8:G$43)</f>
        <v>529892016.51421052</v>
      </c>
      <c r="E13" s="43">
        <f>SUMIF('Entrada 7TRAN'!$E$8:$E$43,'Reliquidación 7TRAN'!$B13,'Entrada 7TRAN'!H$8:H$43)</f>
        <v>4485187.2450000001</v>
      </c>
      <c r="F13" s="43">
        <f>SUMIF('Entrada 7TRAN'!$E$8:$E$43,'Reliquidación 7TRAN'!$B13,'Entrada 7TRAN'!I$8:I$43)</f>
        <v>656771.76399999997</v>
      </c>
      <c r="G13" s="43">
        <f>SUMIF('Entrada 7TRAN'!$E$8:$E$43,'Reliquidación 7TRAN'!$B13,'Entrada 7TRAN'!J$8:J$43)</f>
        <v>-539624448.40155602</v>
      </c>
      <c r="H13" s="43">
        <v>0</v>
      </c>
      <c r="I13" s="43">
        <f t="shared" si="0"/>
        <v>0</v>
      </c>
      <c r="J13" s="43">
        <v>-129343671</v>
      </c>
      <c r="K13" s="43">
        <f t="shared" si="1"/>
        <v>-130472785.51281574</v>
      </c>
      <c r="L13" s="43">
        <f t="shared" si="2"/>
        <v>-670097233.91437173</v>
      </c>
      <c r="M13" s="43">
        <f t="shared" si="3"/>
        <v>670097233.91437173</v>
      </c>
      <c r="N13" s="43">
        <f t="shared" si="6"/>
        <v>0</v>
      </c>
      <c r="O13" s="43">
        <f t="shared" si="4"/>
        <v>670097233.91437173</v>
      </c>
      <c r="P13" s="43">
        <f t="shared" si="5"/>
        <v>0</v>
      </c>
      <c r="Q13" s="86"/>
    </row>
    <row r="14" spans="2:17" x14ac:dyDescent="0.3">
      <c r="B14" s="42" t="s">
        <v>20</v>
      </c>
      <c r="C14" s="43">
        <f>SUMIF('Entrada 7TRAN'!$E$8:$E$43,'Reliquidación 7TRAN'!$B14,'Entrada 7TRAN'!F$8:F$43)</f>
        <v>276412.52100000001</v>
      </c>
      <c r="D14" s="43">
        <f>SUMIF('Entrada 7TRAN'!$E$8:$E$43,'Reliquidación 7TRAN'!$B14,'Entrada 7TRAN'!G$8:G$43)</f>
        <v>919955.61899999995</v>
      </c>
      <c r="E14" s="43">
        <f>SUMIF('Entrada 7TRAN'!$E$8:$E$43,'Reliquidación 7TRAN'!$B14,'Entrada 7TRAN'!H$8:H$43)</f>
        <v>0</v>
      </c>
      <c r="F14" s="43">
        <f>SUMIF('Entrada 7TRAN'!$E$8:$E$43,'Reliquidación 7TRAN'!$B14,'Entrada 7TRAN'!I$8:I$43)</f>
        <v>0</v>
      </c>
      <c r="G14" s="43">
        <f>SUMIF('Entrada 7TRAN'!$E$8:$E$43,'Reliquidación 7TRAN'!$B14,'Entrada 7TRAN'!J$8:J$43)</f>
        <v>697552.24119757593</v>
      </c>
      <c r="H14" s="43">
        <v>483109.97796255816</v>
      </c>
      <c r="I14" s="43">
        <f t="shared" si="0"/>
        <v>487327.31989499502</v>
      </c>
      <c r="J14" s="43">
        <v>0</v>
      </c>
      <c r="K14" s="43">
        <f t="shared" si="1"/>
        <v>0</v>
      </c>
      <c r="L14" s="43">
        <f t="shared" si="2"/>
        <v>1184879.5610925709</v>
      </c>
      <c r="M14" s="43">
        <f t="shared" si="3"/>
        <v>0</v>
      </c>
      <c r="N14" s="43">
        <f t="shared" si="6"/>
        <v>1184879.5610925709</v>
      </c>
      <c r="O14" s="43">
        <f t="shared" si="4"/>
        <v>-843635.92853846052</v>
      </c>
      <c r="P14" s="43">
        <f t="shared" si="5"/>
        <v>341243.63255411037</v>
      </c>
      <c r="Q14" s="86"/>
    </row>
    <row r="15" spans="2:17" x14ac:dyDescent="0.3">
      <c r="B15" s="42" t="s">
        <v>21</v>
      </c>
      <c r="C15" s="43">
        <f>SUMIF('Entrada 7TRAN'!$E$8:$E$43,'Reliquidación 7TRAN'!$B15,'Entrada 7TRAN'!F$8:F$43)</f>
        <v>10988646.189813221</v>
      </c>
      <c r="D15" s="43">
        <f>SUMIF('Entrada 7TRAN'!$E$8:$E$43,'Reliquidación 7TRAN'!$B15,'Entrada 7TRAN'!G$8:G$43)</f>
        <v>20872323.987</v>
      </c>
      <c r="E15" s="43">
        <f>SUMIF('Entrada 7TRAN'!$E$8:$E$43,'Reliquidación 7TRAN'!$B15,'Entrada 7TRAN'!H$8:H$43)</f>
        <v>432597.261</v>
      </c>
      <c r="F15" s="43">
        <f>SUMIF('Entrada 7TRAN'!$E$8:$E$43,'Reliquidación 7TRAN'!$B15,'Entrada 7TRAN'!I$8:I$43)</f>
        <v>33995.805</v>
      </c>
      <c r="G15" s="43">
        <f>SUMIF('Entrada 7TRAN'!$E$8:$E$43,'Reliquidación 7TRAN'!$B15,'Entrada 7TRAN'!J$8:J$43)</f>
        <v>-24943798.642333079</v>
      </c>
      <c r="H15" s="43">
        <v>0</v>
      </c>
      <c r="I15" s="43">
        <f t="shared" si="0"/>
        <v>0</v>
      </c>
      <c r="J15" s="43">
        <v>0</v>
      </c>
      <c r="K15" s="43">
        <f t="shared" si="1"/>
        <v>0</v>
      </c>
      <c r="L15" s="43">
        <f t="shared" si="2"/>
        <v>-24943798.642333079</v>
      </c>
      <c r="M15" s="43">
        <f t="shared" si="3"/>
        <v>24943798.642333079</v>
      </c>
      <c r="N15" s="43">
        <f t="shared" si="6"/>
        <v>0</v>
      </c>
      <c r="O15" s="43">
        <f t="shared" si="4"/>
        <v>24943798.642333079</v>
      </c>
      <c r="P15" s="43">
        <f t="shared" si="5"/>
        <v>0</v>
      </c>
      <c r="Q15" s="86"/>
    </row>
    <row r="16" spans="2:17" x14ac:dyDescent="0.3">
      <c r="B16" s="42" t="s">
        <v>22</v>
      </c>
      <c r="C16" s="43">
        <f>SUMIF('Entrada 7TRAN'!$E$8:$E$43,'Reliquidación 7TRAN'!$B16,'Entrada 7TRAN'!F$8:F$43)</f>
        <v>0</v>
      </c>
      <c r="D16" s="43">
        <f>SUMIF('Entrada 7TRAN'!$E$8:$E$43,'Reliquidación 7TRAN'!$B16,'Entrada 7TRAN'!G$8:G$43)</f>
        <v>0</v>
      </c>
      <c r="E16" s="43">
        <f>SUMIF('Entrada 7TRAN'!$E$8:$E$43,'Reliquidación 7TRAN'!$B16,'Entrada 7TRAN'!H$8:H$43)</f>
        <v>0</v>
      </c>
      <c r="F16" s="43">
        <f>SUMIF('Entrada 7TRAN'!$E$8:$E$43,'Reliquidación 7TRAN'!$B16,'Entrada 7TRAN'!I$8:I$43)</f>
        <v>0</v>
      </c>
      <c r="G16" s="43">
        <f>SUMIF('Entrada 7TRAN'!$E$8:$E$43,'Reliquidación 7TRAN'!$B16,'Entrada 7TRAN'!J$8:J$43)</f>
        <v>0</v>
      </c>
      <c r="H16" s="43">
        <v>0</v>
      </c>
      <c r="I16" s="43">
        <f t="shared" si="0"/>
        <v>0</v>
      </c>
      <c r="J16" s="43">
        <v>0</v>
      </c>
      <c r="K16" s="43">
        <f t="shared" si="1"/>
        <v>0</v>
      </c>
      <c r="L16" s="43">
        <f t="shared" si="2"/>
        <v>0</v>
      </c>
      <c r="M16" s="43">
        <f t="shared" si="3"/>
        <v>0</v>
      </c>
      <c r="N16" s="43">
        <f t="shared" si="6"/>
        <v>0</v>
      </c>
      <c r="O16" s="43">
        <f t="shared" si="4"/>
        <v>0</v>
      </c>
      <c r="P16" s="43">
        <f t="shared" si="5"/>
        <v>0</v>
      </c>
      <c r="Q16" s="86"/>
    </row>
    <row r="17" spans="2:17" x14ac:dyDescent="0.3">
      <c r="B17" s="42" t="s">
        <v>23</v>
      </c>
      <c r="C17" s="43">
        <f>SUMIF('Entrada 7TRAN'!$E$8:$E$43,'Reliquidación 7TRAN'!$B17,'Entrada 7TRAN'!F$8:F$43)</f>
        <v>0</v>
      </c>
      <c r="D17" s="43">
        <f>SUMIF('Entrada 7TRAN'!$E$8:$E$43,'Reliquidación 7TRAN'!$B17,'Entrada 7TRAN'!G$8:G$43)</f>
        <v>0</v>
      </c>
      <c r="E17" s="43">
        <f>SUMIF('Entrada 7TRAN'!$E$8:$E$43,'Reliquidación 7TRAN'!$B17,'Entrada 7TRAN'!H$8:H$43)</f>
        <v>0</v>
      </c>
      <c r="F17" s="43">
        <f>SUMIF('Entrada 7TRAN'!$E$8:$E$43,'Reliquidación 7TRAN'!$B17,'Entrada 7TRAN'!I$8:I$43)</f>
        <v>0</v>
      </c>
      <c r="G17" s="43">
        <f>SUMIF('Entrada 7TRAN'!$E$8:$E$43,'Reliquidación 7TRAN'!$B17,'Entrada 7TRAN'!J$8:J$43)</f>
        <v>0</v>
      </c>
      <c r="H17" s="43">
        <v>0</v>
      </c>
      <c r="I17" s="43">
        <f t="shared" si="0"/>
        <v>0</v>
      </c>
      <c r="J17" s="43">
        <v>0</v>
      </c>
      <c r="K17" s="43">
        <f t="shared" si="1"/>
        <v>0</v>
      </c>
      <c r="L17" s="43">
        <f t="shared" si="2"/>
        <v>0</v>
      </c>
      <c r="M17" s="43">
        <f t="shared" si="3"/>
        <v>0</v>
      </c>
      <c r="N17" s="43">
        <f t="shared" si="6"/>
        <v>0</v>
      </c>
      <c r="O17" s="43">
        <f t="shared" si="4"/>
        <v>0</v>
      </c>
      <c r="P17" s="43">
        <f t="shared" si="5"/>
        <v>0</v>
      </c>
      <c r="Q17" s="86"/>
    </row>
    <row r="18" spans="2:17" x14ac:dyDescent="0.3">
      <c r="B18" s="42" t="s">
        <v>24</v>
      </c>
      <c r="C18" s="43">
        <f>SUMIF('Entrada 7TRAN'!$E$8:$E$43,'Reliquidación 7TRAN'!$B18,'Entrada 7TRAN'!F$8:F$43)+SUMIF('Entrada 7TRAN'!$E$8:$E$43,"LUZ ANDES",'Entrada 7TRAN'!F$8:F$43)</f>
        <v>102568823.286</v>
      </c>
      <c r="D18" s="43">
        <f>SUMIF('Entrada 7TRAN'!$E$8:$E$43,'Reliquidación 7TRAN'!$B18,'Entrada 7TRAN'!G$8:G$43)+SUMIF('Entrada 7TRAN'!$E$8:$E$43,"LUZ ANDES",'Entrada 7TRAN'!G$8:G$43)</f>
        <v>616173126.97099996</v>
      </c>
      <c r="E18" s="43">
        <f>SUMIF('Entrada 7TRAN'!$E$8:$E$43,'Reliquidación 7TRAN'!$B18,'Entrada 7TRAN'!H$8:H$43)+SUMIF('Entrada 7TRAN'!$E$8:$E$43,"LUZ ANDES",'Entrada 7TRAN'!H$8:H$43)</f>
        <v>422173.5</v>
      </c>
      <c r="F18" s="43">
        <f>SUMIF('Entrada 7TRAN'!$E$8:$E$43,'Reliquidación 7TRAN'!$B18,'Entrada 7TRAN'!I$8:I$43)+SUMIF('Entrada 7TRAN'!$E$8:$E$43,"LUZ ANDES",'Entrada 7TRAN'!I$8:I$43)</f>
        <v>944776.95</v>
      </c>
      <c r="G18" s="43">
        <f>SUMIF('Entrada 7TRAN'!$E$8:$E$43,'Reliquidación 7TRAN'!$B18,'Entrada 7TRAN'!J$8:J$43)+SUMIF('Entrada 7TRAN'!$E$8:$E$43,"LUZ ANDES",'Entrada 7TRAN'!J$8:J$43)</f>
        <v>544385837.00386047</v>
      </c>
      <c r="H18" s="43">
        <v>399785639.14392406</v>
      </c>
      <c r="I18" s="43">
        <f t="shared" si="0"/>
        <v>403275595.50346422</v>
      </c>
      <c r="J18" s="43">
        <v>0</v>
      </c>
      <c r="K18" s="43">
        <f t="shared" si="1"/>
        <v>0</v>
      </c>
      <c r="L18" s="43">
        <f t="shared" si="2"/>
        <v>947661432.5073247</v>
      </c>
      <c r="M18" s="43">
        <f t="shared" si="3"/>
        <v>0</v>
      </c>
      <c r="N18" s="43">
        <f t="shared" si="6"/>
        <v>947661432.5073247</v>
      </c>
      <c r="O18" s="43">
        <f t="shared" si="4"/>
        <v>-674736284.43401217</v>
      </c>
      <c r="P18" s="43">
        <f t="shared" si="5"/>
        <v>272925148.07331252</v>
      </c>
      <c r="Q18" s="86"/>
    </row>
    <row r="19" spans="2:17" x14ac:dyDescent="0.3">
      <c r="B19" s="42" t="s">
        <v>26</v>
      </c>
      <c r="C19" s="43">
        <f>SUMIF('Entrada 7TRAN'!$E$8:$E$43,'Reliquidación 7TRAN'!$B19,'Entrada 7TRAN'!F$8:F$43)</f>
        <v>31118094.763999999</v>
      </c>
      <c r="D19" s="43">
        <f>SUMIF('Entrada 7TRAN'!$E$8:$E$43,'Reliquidación 7TRAN'!$B19,'Entrada 7TRAN'!G$8:G$43)</f>
        <v>75983954.803727269</v>
      </c>
      <c r="E19" s="43">
        <f>SUMIF('Entrada 7TRAN'!$E$8:$E$43,'Reliquidación 7TRAN'!$B19,'Entrada 7TRAN'!H$8:H$43)</f>
        <v>1218497.138</v>
      </c>
      <c r="F19" s="43">
        <f>SUMIF('Entrada 7TRAN'!$E$8:$E$43,'Reliquidación 7TRAN'!$B19,'Entrada 7TRAN'!I$8:I$43)</f>
        <v>136265.35399999999</v>
      </c>
      <c r="G19" s="43">
        <f>SUMIF('Entrada 7TRAN'!$E$8:$E$43,'Reliquidación 7TRAN'!$B19,'Entrada 7TRAN'!J$8:J$43)</f>
        <v>-103695547.70536441</v>
      </c>
      <c r="H19" s="43">
        <v>0</v>
      </c>
      <c r="I19" s="43">
        <f t="shared" si="0"/>
        <v>0</v>
      </c>
      <c r="J19" s="43">
        <v>0</v>
      </c>
      <c r="K19" s="43">
        <f t="shared" si="1"/>
        <v>0</v>
      </c>
      <c r="L19" s="43">
        <f t="shared" si="2"/>
        <v>-103695547.70536441</v>
      </c>
      <c r="M19" s="43">
        <f t="shared" si="3"/>
        <v>103695547.70536441</v>
      </c>
      <c r="N19" s="43">
        <f t="shared" si="6"/>
        <v>0</v>
      </c>
      <c r="O19" s="43">
        <f t="shared" si="4"/>
        <v>103695547.70536441</v>
      </c>
      <c r="P19" s="43">
        <f t="shared" si="5"/>
        <v>0</v>
      </c>
      <c r="Q19" s="86"/>
    </row>
    <row r="20" spans="2:17" x14ac:dyDescent="0.3">
      <c r="B20" s="42" t="s">
        <v>27</v>
      </c>
      <c r="C20" s="43">
        <f>SUMIF('Entrada 7TRAN'!$E$8:$E$43,'Reliquidación 7TRAN'!$B20,'Entrada 7TRAN'!F$8:F$43)</f>
        <v>3566656.8309999998</v>
      </c>
      <c r="D20" s="43">
        <f>SUMIF('Entrada 7TRAN'!$E$8:$E$43,'Reliquidación 7TRAN'!$B20,'Entrada 7TRAN'!G$8:G$43)</f>
        <v>21200534.309999999</v>
      </c>
      <c r="E20" s="43">
        <f>SUMIF('Entrada 7TRAN'!$E$8:$E$43,'Reliquidación 7TRAN'!$B20,'Entrada 7TRAN'!H$8:H$43)</f>
        <v>0</v>
      </c>
      <c r="F20" s="43">
        <f>SUMIF('Entrada 7TRAN'!$E$8:$E$43,'Reliquidación 7TRAN'!$B20,'Entrada 7TRAN'!I$8:I$43)</f>
        <v>14009.406000000001</v>
      </c>
      <c r="G20" s="43">
        <f>SUMIF('Entrada 7TRAN'!$E$8:$E$43,'Reliquidación 7TRAN'!$B20,'Entrada 7TRAN'!J$8:J$43)</f>
        <v>21855474.147805508</v>
      </c>
      <c r="H20" s="43">
        <v>14200793.249965396</v>
      </c>
      <c r="I20" s="43">
        <f t="shared" si="0"/>
        <v>14324760.055825049</v>
      </c>
      <c r="J20" s="43">
        <v>0</v>
      </c>
      <c r="K20" s="43">
        <f t="shared" si="1"/>
        <v>0</v>
      </c>
      <c r="L20" s="43">
        <f t="shared" si="2"/>
        <v>36180234.203630559</v>
      </c>
      <c r="M20" s="43">
        <f t="shared" si="3"/>
        <v>0</v>
      </c>
      <c r="N20" s="43">
        <f t="shared" si="6"/>
        <v>36180234.203630559</v>
      </c>
      <c r="O20" s="43">
        <f t="shared" si="4"/>
        <v>-25760378.083468497</v>
      </c>
      <c r="P20" s="43">
        <f t="shared" si="5"/>
        <v>10419856.120162062</v>
      </c>
      <c r="Q20" s="86"/>
    </row>
    <row r="21" spans="2:17" x14ac:dyDescent="0.3">
      <c r="B21" s="42" t="s">
        <v>28</v>
      </c>
      <c r="C21" s="43">
        <f>SUMIF('Entrada 7TRAN'!$E$8:$E$43,'Reliquidación 7TRAN'!$B21,'Entrada 7TRAN'!F$8:F$43)</f>
        <v>0</v>
      </c>
      <c r="D21" s="43">
        <f>SUMIF('Entrada 7TRAN'!$E$8:$E$43,'Reliquidación 7TRAN'!$B21,'Entrada 7TRAN'!G$8:G$43)</f>
        <v>0</v>
      </c>
      <c r="E21" s="43">
        <f>SUMIF('Entrada 7TRAN'!$E$8:$E$43,'Reliquidación 7TRAN'!$B21,'Entrada 7TRAN'!H$8:H$43)</f>
        <v>0</v>
      </c>
      <c r="F21" s="43">
        <f>SUMIF('Entrada 7TRAN'!$E$8:$E$43,'Reliquidación 7TRAN'!$B21,'Entrada 7TRAN'!I$8:I$43)</f>
        <v>0</v>
      </c>
      <c r="G21" s="43">
        <f>SUMIF('Entrada 7TRAN'!$E$8:$E$43,'Reliquidación 7TRAN'!$B21,'Entrada 7TRAN'!J$8:J$43)</f>
        <v>0</v>
      </c>
      <c r="H21" s="43">
        <v>0</v>
      </c>
      <c r="I21" s="43">
        <f t="shared" si="0"/>
        <v>0</v>
      </c>
      <c r="J21" s="43">
        <v>0</v>
      </c>
      <c r="K21" s="43">
        <f t="shared" si="1"/>
        <v>0</v>
      </c>
      <c r="L21" s="43">
        <f t="shared" si="2"/>
        <v>0</v>
      </c>
      <c r="M21" s="43">
        <f t="shared" si="3"/>
        <v>0</v>
      </c>
      <c r="N21" s="43">
        <f t="shared" si="6"/>
        <v>0</v>
      </c>
      <c r="O21" s="43">
        <f t="shared" si="4"/>
        <v>0</v>
      </c>
      <c r="P21" s="43">
        <f t="shared" si="5"/>
        <v>0</v>
      </c>
      <c r="Q21" s="86"/>
    </row>
    <row r="22" spans="2:17" x14ac:dyDescent="0.3">
      <c r="B22" s="42" t="s">
        <v>29</v>
      </c>
      <c r="C22" s="43">
        <f>SUMIF('Entrada 7TRAN'!$E$8:$E$43,'Reliquidación 7TRAN'!$B22,'Entrada 7TRAN'!F$8:F$43)</f>
        <v>1523795</v>
      </c>
      <c r="D22" s="43">
        <f>SUMIF('Entrada 7TRAN'!$E$8:$E$43,'Reliquidación 7TRAN'!$B22,'Entrada 7TRAN'!G$8:G$43)</f>
        <v>8934806</v>
      </c>
      <c r="E22" s="43">
        <f>SUMIF('Entrada 7TRAN'!$E$8:$E$43,'Reliquidación 7TRAN'!$B22,'Entrada 7TRAN'!H$8:H$43)</f>
        <v>9577</v>
      </c>
      <c r="F22" s="43">
        <f>SUMIF('Entrada 7TRAN'!$E$8:$E$43,'Reliquidación 7TRAN'!$B22,'Entrada 7TRAN'!I$8:I$43)</f>
        <v>6894</v>
      </c>
      <c r="G22" s="43">
        <f>SUMIF('Entrada 7TRAN'!$E$8:$E$43,'Reliquidación 7TRAN'!$B22,'Entrada 7TRAN'!J$8:J$43)</f>
        <v>6578719.2178564016</v>
      </c>
      <c r="H22" s="43">
        <v>5530886.5715671182</v>
      </c>
      <c r="I22" s="43">
        <f t="shared" si="0"/>
        <v>5579168.828042537</v>
      </c>
      <c r="J22" s="43">
        <v>0</v>
      </c>
      <c r="K22" s="43">
        <f t="shared" si="1"/>
        <v>0</v>
      </c>
      <c r="L22" s="43">
        <f t="shared" si="2"/>
        <v>12157888.045898939</v>
      </c>
      <c r="M22" s="43">
        <f t="shared" si="3"/>
        <v>0</v>
      </c>
      <c r="N22" s="43">
        <f t="shared" si="6"/>
        <v>12157888.045898939</v>
      </c>
      <c r="O22" s="43">
        <f t="shared" si="4"/>
        <v>-8656433.5376085248</v>
      </c>
      <c r="P22" s="43">
        <f t="shared" si="5"/>
        <v>3501454.5082904138</v>
      </c>
      <c r="Q22" s="86"/>
    </row>
    <row r="23" spans="2:17" x14ac:dyDescent="0.3">
      <c r="B23" s="42" t="s">
        <v>30</v>
      </c>
      <c r="C23" s="43">
        <f>SUMIF('Entrada 7TRAN'!$E$8:$E$43,'Reliquidación 7TRAN'!$B23,'Entrada 7TRAN'!F$8:F$43)</f>
        <v>4014606</v>
      </c>
      <c r="D23" s="43">
        <f>SUMIF('Entrada 7TRAN'!$E$8:$E$43,'Reliquidación 7TRAN'!$B23,'Entrada 7TRAN'!G$8:G$43)</f>
        <v>13469914</v>
      </c>
      <c r="E23" s="43">
        <f>SUMIF('Entrada 7TRAN'!$E$8:$E$43,'Reliquidación 7TRAN'!$B23,'Entrada 7TRAN'!H$8:H$43)</f>
        <v>422455</v>
      </c>
      <c r="F23" s="43">
        <f>SUMIF('Entrada 7TRAN'!$E$8:$E$43,'Reliquidación 7TRAN'!$B23,'Entrada 7TRAN'!I$8:I$43)</f>
        <v>77115</v>
      </c>
      <c r="G23" s="43">
        <f>SUMIF('Entrada 7TRAN'!$E$8:$E$43,'Reliquidación 7TRAN'!$B23,'Entrada 7TRAN'!J$8:J$43)</f>
        <v>12204655.145690279</v>
      </c>
      <c r="H23" s="43">
        <v>10462068.571318556</v>
      </c>
      <c r="I23" s="43">
        <f t="shared" si="0"/>
        <v>10553397.921773974</v>
      </c>
      <c r="J23" s="43">
        <v>0</v>
      </c>
      <c r="K23" s="43">
        <f t="shared" si="1"/>
        <v>0</v>
      </c>
      <c r="L23" s="43">
        <f t="shared" si="2"/>
        <v>22758053.067464255</v>
      </c>
      <c r="M23" s="43">
        <f t="shared" si="3"/>
        <v>0</v>
      </c>
      <c r="N23" s="43">
        <f t="shared" si="6"/>
        <v>22758053.067464255</v>
      </c>
      <c r="O23" s="43">
        <f t="shared" si="4"/>
        <v>-16203766.071881602</v>
      </c>
      <c r="P23" s="43">
        <f t="shared" si="5"/>
        <v>6554286.9955826532</v>
      </c>
      <c r="Q23" s="86"/>
    </row>
    <row r="24" spans="2:17" x14ac:dyDescent="0.3">
      <c r="B24" s="42" t="s">
        <v>31</v>
      </c>
      <c r="C24" s="43">
        <f>SUMIF('Entrada 7TRAN'!$E$8:$E$43,'Reliquidación 7TRAN'!$B24,'Entrada 7TRAN'!F$8:F$43)</f>
        <v>1635308</v>
      </c>
      <c r="D24" s="43">
        <f>SUMIF('Entrada 7TRAN'!$E$8:$E$43,'Reliquidación 7TRAN'!$B24,'Entrada 7TRAN'!G$8:G$43)</f>
        <v>16202203</v>
      </c>
      <c r="E24" s="43">
        <f>SUMIF('Entrada 7TRAN'!$E$8:$E$43,'Reliquidación 7TRAN'!$B24,'Entrada 7TRAN'!H$8:H$43)</f>
        <v>14</v>
      </c>
      <c r="F24" s="43">
        <f>SUMIF('Entrada 7TRAN'!$E$8:$E$43,'Reliquidación 7TRAN'!$B24,'Entrada 7TRAN'!I$8:I$43)</f>
        <v>58658</v>
      </c>
      <c r="G24" s="43">
        <f>SUMIF('Entrada 7TRAN'!$E$8:$E$43,'Reliquidación 7TRAN'!$B24,'Entrada 7TRAN'!J$8:J$43)</f>
        <v>12500959.5708177</v>
      </c>
      <c r="H24" s="43">
        <v>8432793.1698124986</v>
      </c>
      <c r="I24" s="43">
        <f t="shared" si="0"/>
        <v>8506407.8204405047</v>
      </c>
      <c r="J24" s="43">
        <v>0</v>
      </c>
      <c r="K24" s="43">
        <f t="shared" si="1"/>
        <v>0</v>
      </c>
      <c r="L24" s="43">
        <f t="shared" si="2"/>
        <v>21007367.391258202</v>
      </c>
      <c r="M24" s="43">
        <f t="shared" si="3"/>
        <v>0</v>
      </c>
      <c r="N24" s="43">
        <f t="shared" si="6"/>
        <v>21007367.391258202</v>
      </c>
      <c r="O24" s="43">
        <f t="shared" si="4"/>
        <v>-14957275.386648417</v>
      </c>
      <c r="P24" s="43">
        <f t="shared" si="5"/>
        <v>6050092.004609786</v>
      </c>
      <c r="Q24" s="86"/>
    </row>
    <row r="25" spans="2:17" x14ac:dyDescent="0.3">
      <c r="B25" s="42" t="s">
        <v>32</v>
      </c>
      <c r="C25" s="43">
        <f>SUMIF('Entrada 7TRAN'!$E$8:$E$43,'Reliquidación 7TRAN'!$B25,'Entrada 7TRAN'!F$8:F$43)</f>
        <v>505561</v>
      </c>
      <c r="D25" s="43">
        <f>SUMIF('Entrada 7TRAN'!$E$8:$E$43,'Reliquidación 7TRAN'!$B25,'Entrada 7TRAN'!G$8:G$43)</f>
        <v>2537503</v>
      </c>
      <c r="E25" s="43">
        <f>SUMIF('Entrada 7TRAN'!$E$8:$E$43,'Reliquidación 7TRAN'!$B25,'Entrada 7TRAN'!H$8:H$43)</f>
        <v>104171</v>
      </c>
      <c r="F25" s="43">
        <f>SUMIF('Entrada 7TRAN'!$E$8:$E$43,'Reliquidación 7TRAN'!$B25,'Entrada 7TRAN'!I$8:I$43)</f>
        <v>25305</v>
      </c>
      <c r="G25" s="43">
        <f>SUMIF('Entrada 7TRAN'!$E$8:$E$43,'Reliquidación 7TRAN'!$B25,'Entrada 7TRAN'!J$8:J$43)</f>
        <v>1873396.372242586</v>
      </c>
      <c r="H25" s="43">
        <v>2069614.9905599379</v>
      </c>
      <c r="I25" s="43">
        <f t="shared" si="0"/>
        <v>2087681.8376172034</v>
      </c>
      <c r="J25" s="43">
        <v>0</v>
      </c>
      <c r="K25" s="43">
        <f t="shared" si="1"/>
        <v>0</v>
      </c>
      <c r="L25" s="43">
        <f t="shared" si="2"/>
        <v>3961078.2098597893</v>
      </c>
      <c r="M25" s="43">
        <f t="shared" si="3"/>
        <v>0</v>
      </c>
      <c r="N25" s="43">
        <f t="shared" si="6"/>
        <v>3961078.2098597893</v>
      </c>
      <c r="O25" s="43">
        <f t="shared" si="4"/>
        <v>-2820293.305175385</v>
      </c>
      <c r="P25" s="43">
        <f t="shared" si="5"/>
        <v>1140784.9046844044</v>
      </c>
      <c r="Q25" s="86"/>
    </row>
    <row r="26" spans="2:17" x14ac:dyDescent="0.3">
      <c r="B26" s="42" t="s">
        <v>33</v>
      </c>
      <c r="C26" s="43">
        <f>SUMIF('Entrada 7TRAN'!$E$8:$E$43,'Reliquidación 7TRAN'!$B26,'Entrada 7TRAN'!F$8:F$43)</f>
        <v>958365</v>
      </c>
      <c r="D26" s="43">
        <f>SUMIF('Entrada 7TRAN'!$E$8:$E$43,'Reliquidación 7TRAN'!$B26,'Entrada 7TRAN'!G$8:G$43)</f>
        <v>2268594</v>
      </c>
      <c r="E26" s="43">
        <f>SUMIF('Entrada 7TRAN'!$E$8:$E$43,'Reliquidación 7TRAN'!$B26,'Entrada 7TRAN'!H$8:H$43)</f>
        <v>45804</v>
      </c>
      <c r="F26" s="43">
        <f>SUMIF('Entrada 7TRAN'!$E$8:$E$43,'Reliquidación 7TRAN'!$B26,'Entrada 7TRAN'!I$8:I$43)</f>
        <v>5952</v>
      </c>
      <c r="G26" s="43">
        <f>SUMIF('Entrada 7TRAN'!$E$8:$E$43,'Reliquidación 7TRAN'!$B26,'Entrada 7TRAN'!J$8:J$43)</f>
        <v>1966587.0000579581</v>
      </c>
      <c r="H26" s="43">
        <v>2068853.9826989756</v>
      </c>
      <c r="I26" s="43">
        <f t="shared" si="0"/>
        <v>2086914.186485538</v>
      </c>
      <c r="J26" s="43">
        <v>0</v>
      </c>
      <c r="K26" s="43">
        <f t="shared" si="1"/>
        <v>0</v>
      </c>
      <c r="L26" s="43">
        <f t="shared" si="2"/>
        <v>4053501.1865434963</v>
      </c>
      <c r="M26" s="43">
        <f t="shared" si="3"/>
        <v>0</v>
      </c>
      <c r="N26" s="43">
        <f t="shared" si="6"/>
        <v>4053501.1865434963</v>
      </c>
      <c r="O26" s="43">
        <f t="shared" si="4"/>
        <v>-2886098.595698711</v>
      </c>
      <c r="P26" s="43">
        <f t="shared" si="5"/>
        <v>1167402.5908447853</v>
      </c>
      <c r="Q26" s="86"/>
    </row>
    <row r="27" spans="2:17" x14ac:dyDescent="0.3">
      <c r="B27" s="42" t="s">
        <v>34</v>
      </c>
      <c r="C27" s="43">
        <f>SUMIF('Entrada 7TRAN'!$E$8:$E$43,'Reliquidación 7TRAN'!$B27,'Entrada 7TRAN'!F$8:F$43)</f>
        <v>1141514</v>
      </c>
      <c r="D27" s="43">
        <f>SUMIF('Entrada 7TRAN'!$E$8:$E$43,'Reliquidación 7TRAN'!$B27,'Entrada 7TRAN'!G$8:G$43)</f>
        <v>7272511</v>
      </c>
      <c r="E27" s="43">
        <f>SUMIF('Entrada 7TRAN'!$E$8:$E$43,'Reliquidación 7TRAN'!$B27,'Entrada 7TRAN'!H$8:H$43)</f>
        <v>306813</v>
      </c>
      <c r="F27" s="43">
        <f>SUMIF('Entrada 7TRAN'!$E$8:$E$43,'Reliquidación 7TRAN'!$B27,'Entrada 7TRAN'!I$8:I$43)</f>
        <v>56871</v>
      </c>
      <c r="G27" s="43">
        <f>SUMIF('Entrada 7TRAN'!$E$8:$E$43,'Reliquidación 7TRAN'!$B27,'Entrada 7TRAN'!J$8:J$43)</f>
        <v>4724313.3063191464</v>
      </c>
      <c r="H27" s="43">
        <v>4222348.8640890811</v>
      </c>
      <c r="I27" s="43">
        <f t="shared" si="0"/>
        <v>4259208.150235475</v>
      </c>
      <c r="J27" s="43">
        <v>0</v>
      </c>
      <c r="K27" s="43">
        <f t="shared" si="1"/>
        <v>0</v>
      </c>
      <c r="L27" s="43">
        <f t="shared" si="2"/>
        <v>8983521.4565546215</v>
      </c>
      <c r="M27" s="43">
        <f t="shared" si="3"/>
        <v>0</v>
      </c>
      <c r="N27" s="43">
        <f t="shared" si="6"/>
        <v>8983521.4565546215</v>
      </c>
      <c r="O27" s="43">
        <f t="shared" si="4"/>
        <v>-6396280.0223824028</v>
      </c>
      <c r="P27" s="43">
        <f t="shared" si="5"/>
        <v>2587241.4341722187</v>
      </c>
      <c r="Q27" s="86"/>
    </row>
    <row r="28" spans="2:17" x14ac:dyDescent="0.3">
      <c r="B28" s="42" t="s">
        <v>35</v>
      </c>
      <c r="C28" s="43">
        <f>SUMIF('Entrada 7TRAN'!$E$8:$E$43,'Reliquidación 7TRAN'!$B28,'Entrada 7TRAN'!F$8:F$43)</f>
        <v>19411375.32</v>
      </c>
      <c r="D28" s="43">
        <f>SUMIF('Entrada 7TRAN'!$E$8:$E$43,'Reliquidación 7TRAN'!$B28,'Entrada 7TRAN'!G$8:G$43)</f>
        <v>66990517.640000001</v>
      </c>
      <c r="E28" s="43">
        <f>SUMIF('Entrada 7TRAN'!$E$8:$E$43,'Reliquidación 7TRAN'!$B28,'Entrada 7TRAN'!H$8:H$43)</f>
        <v>255093.88500000001</v>
      </c>
      <c r="F28" s="43">
        <f>SUMIF('Entrada 7TRAN'!$E$8:$E$43,'Reliquidación 7TRAN'!$B28,'Entrada 7TRAN'!I$8:I$43)</f>
        <v>88673.3</v>
      </c>
      <c r="G28" s="43">
        <f>SUMIF('Entrada 7TRAN'!$E$8:$E$43,'Reliquidación 7TRAN'!$B28,'Entrada 7TRAN'!J$8:J$43)</f>
        <v>51779430.466805398</v>
      </c>
      <c r="H28" s="43">
        <v>34502749.16736345</v>
      </c>
      <c r="I28" s="43">
        <f t="shared" si="0"/>
        <v>34803943.300139464</v>
      </c>
      <c r="J28" s="43">
        <v>0</v>
      </c>
      <c r="K28" s="43">
        <f t="shared" si="1"/>
        <v>0</v>
      </c>
      <c r="L28" s="43">
        <f t="shared" si="2"/>
        <v>86583373.766944855</v>
      </c>
      <c r="M28" s="43">
        <f t="shared" si="3"/>
        <v>0</v>
      </c>
      <c r="N28" s="43">
        <f t="shared" si="6"/>
        <v>86583373.766944855</v>
      </c>
      <c r="O28" s="43">
        <f t="shared" si="4"/>
        <v>-61647484.961690836</v>
      </c>
      <c r="P28" s="43">
        <f t="shared" si="5"/>
        <v>24935888.80525402</v>
      </c>
      <c r="Q28" s="86"/>
    </row>
    <row r="29" spans="2:17" x14ac:dyDescent="0.3">
      <c r="B29" s="42" t="s">
        <v>36</v>
      </c>
      <c r="C29" s="43">
        <f>SUMIF('Entrada 7TRAN'!$E$8:$E$43,'Reliquidación 7TRAN'!$B29,'Entrada 7TRAN'!F$8:F$43)</f>
        <v>7103311.8200000003</v>
      </c>
      <c r="D29" s="43">
        <f>SUMIF('Entrada 7TRAN'!$E$8:$E$43,'Reliquidación 7TRAN'!$B29,'Entrada 7TRAN'!G$8:G$43)</f>
        <v>6977602.1600000001</v>
      </c>
      <c r="E29" s="43">
        <f>SUMIF('Entrada 7TRAN'!$E$8:$E$43,'Reliquidación 7TRAN'!$B29,'Entrada 7TRAN'!H$8:H$43)</f>
        <v>158069.54</v>
      </c>
      <c r="F29" s="43">
        <f>SUMIF('Entrada 7TRAN'!$E$8:$E$43,'Reliquidación 7TRAN'!$B29,'Entrada 7TRAN'!I$8:I$43)</f>
        <v>3495</v>
      </c>
      <c r="G29" s="43">
        <f>SUMIF('Entrada 7TRAN'!$E$8:$E$43,'Reliquidación 7TRAN'!$B29,'Entrada 7TRAN'!J$8:J$43)</f>
        <v>8726846.8588881046</v>
      </c>
      <c r="H29" s="43">
        <v>6909880.3315488435</v>
      </c>
      <c r="I29" s="43">
        <f t="shared" si="0"/>
        <v>6970200.6093316805</v>
      </c>
      <c r="J29" s="43">
        <v>0</v>
      </c>
      <c r="K29" s="43">
        <f t="shared" si="1"/>
        <v>0</v>
      </c>
      <c r="L29" s="43">
        <f t="shared" si="2"/>
        <v>15697047.468219785</v>
      </c>
      <c r="M29" s="43">
        <f t="shared" si="3"/>
        <v>0</v>
      </c>
      <c r="N29" s="43">
        <f t="shared" si="6"/>
        <v>15697047.468219785</v>
      </c>
      <c r="O29" s="43">
        <f t="shared" si="4"/>
        <v>-11176320.067461513</v>
      </c>
      <c r="P29" s="43">
        <f t="shared" si="5"/>
        <v>4520727.400758272</v>
      </c>
      <c r="Q29" s="86"/>
    </row>
    <row r="30" spans="2:17" x14ac:dyDescent="0.3">
      <c r="B30" s="42" t="s">
        <v>37</v>
      </c>
      <c r="C30" s="43">
        <f>SUMIF('Entrada 7TRAN'!$E$8:$E$43,'Reliquidación 7TRAN'!$B30,'Entrada 7TRAN'!F$8:F$43)</f>
        <v>41853118.509999998</v>
      </c>
      <c r="D30" s="43">
        <f>SUMIF('Entrada 7TRAN'!$E$8:$E$43,'Reliquidación 7TRAN'!$B30,'Entrada 7TRAN'!G$8:G$43)</f>
        <v>119938812.62</v>
      </c>
      <c r="E30" s="43">
        <f>SUMIF('Entrada 7TRAN'!$E$8:$E$43,'Reliquidación 7TRAN'!$B30,'Entrada 7TRAN'!H$8:H$43)</f>
        <v>131234.23000000001</v>
      </c>
      <c r="F30" s="43">
        <f>SUMIF('Entrada 7TRAN'!$E$8:$E$43,'Reliquidación 7TRAN'!$B30,'Entrada 7TRAN'!I$8:I$43)</f>
        <v>68431.199999999997</v>
      </c>
      <c r="G30" s="43">
        <f>SUMIF('Entrada 7TRAN'!$E$8:$E$43,'Reliquidación 7TRAN'!$B30,'Entrada 7TRAN'!J$8:J$43)</f>
        <v>100932581.8836576</v>
      </c>
      <c r="H30" s="43">
        <v>76944422.077909619</v>
      </c>
      <c r="I30" s="43">
        <f t="shared" si="0"/>
        <v>77616113.72680667</v>
      </c>
      <c r="J30" s="43">
        <v>0</v>
      </c>
      <c r="K30" s="43">
        <f t="shared" si="1"/>
        <v>0</v>
      </c>
      <c r="L30" s="43">
        <f t="shared" si="2"/>
        <v>178548695.61046427</v>
      </c>
      <c r="M30" s="43">
        <f t="shared" si="3"/>
        <v>0</v>
      </c>
      <c r="N30" s="43">
        <f t="shared" si="6"/>
        <v>178548695.61046427</v>
      </c>
      <c r="O30" s="43">
        <f t="shared" si="4"/>
        <v>-127126924.58950832</v>
      </c>
      <c r="P30" s="43">
        <f t="shared" si="5"/>
        <v>51421771.02095595</v>
      </c>
      <c r="Q30" s="86"/>
    </row>
    <row r="31" spans="2:17" x14ac:dyDescent="0.3">
      <c r="B31" s="42" t="s">
        <v>38</v>
      </c>
      <c r="C31" s="43">
        <f>SUMIF('Entrada 7TRAN'!$E$8:$E$43,'Reliquidación 7TRAN'!$B31,'Entrada 7TRAN'!F$8:F$43)</f>
        <v>1561983</v>
      </c>
      <c r="D31" s="43">
        <f>SUMIF('Entrada 7TRAN'!$E$8:$E$43,'Reliquidación 7TRAN'!$B31,'Entrada 7TRAN'!G$8:G$43)</f>
        <v>3175679</v>
      </c>
      <c r="E31" s="43">
        <f>SUMIF('Entrada 7TRAN'!$E$8:$E$43,'Reliquidación 7TRAN'!$B31,'Entrada 7TRAN'!H$8:H$43)</f>
        <v>38836</v>
      </c>
      <c r="F31" s="43">
        <f>SUMIF('Entrada 7TRAN'!$E$8:$E$43,'Reliquidación 7TRAN'!$B31,'Entrada 7TRAN'!I$8:I$43)</f>
        <v>7521</v>
      </c>
      <c r="G31" s="43">
        <f>SUMIF('Entrada 7TRAN'!$E$8:$E$43,'Reliquidación 7TRAN'!$B31,'Entrada 7TRAN'!J$8:J$43)</f>
        <v>3044355.6802932848</v>
      </c>
      <c r="H31" s="43">
        <v>2342916.6573737962</v>
      </c>
      <c r="I31" s="43">
        <f t="shared" si="0"/>
        <v>2363369.3102149121</v>
      </c>
      <c r="J31" s="43">
        <v>0</v>
      </c>
      <c r="K31" s="43">
        <f t="shared" si="1"/>
        <v>0</v>
      </c>
      <c r="L31" s="43">
        <f t="shared" si="2"/>
        <v>5407724.9905081969</v>
      </c>
      <c r="M31" s="43">
        <f t="shared" si="3"/>
        <v>0</v>
      </c>
      <c r="N31" s="43">
        <f t="shared" si="6"/>
        <v>5407724.9905081969</v>
      </c>
      <c r="O31" s="43">
        <f t="shared" si="4"/>
        <v>-3850307.8654182251</v>
      </c>
      <c r="P31" s="43">
        <f t="shared" si="5"/>
        <v>1557417.1250899718</v>
      </c>
      <c r="Q31" s="86"/>
    </row>
    <row r="32" spans="2:17" x14ac:dyDescent="0.3">
      <c r="B32" s="42" t="s">
        <v>39</v>
      </c>
      <c r="C32" s="43">
        <f>SUMIF('Entrada 7TRAN'!$E$8:$E$43,'Reliquidación 7TRAN'!$B32,'Entrada 7TRAN'!F$8:F$43)</f>
        <v>32588324.995099999</v>
      </c>
      <c r="D32" s="43">
        <f>SUMIF('Entrada 7TRAN'!$E$8:$E$43,'Reliquidación 7TRAN'!$B32,'Entrada 7TRAN'!G$8:G$43)</f>
        <v>148014930.39161</v>
      </c>
      <c r="E32" s="43">
        <f>SUMIF('Entrada 7TRAN'!$E$8:$E$43,'Reliquidación 7TRAN'!$B32,'Entrada 7TRAN'!H$8:H$43)</f>
        <v>2069235.4</v>
      </c>
      <c r="F32" s="43">
        <f>SUMIF('Entrada 7TRAN'!$E$8:$E$43,'Reliquidación 7TRAN'!$B32,'Entrada 7TRAN'!I$8:I$43)</f>
        <v>455407.5</v>
      </c>
      <c r="G32" s="43">
        <f>SUMIF('Entrada 7TRAN'!$E$8:$E$43,'Reliquidación 7TRAN'!$B32,'Entrada 7TRAN'!J$8:J$43)</f>
        <v>-133917980.81213561</v>
      </c>
      <c r="H32" s="43">
        <v>0</v>
      </c>
      <c r="I32" s="43">
        <f t="shared" si="0"/>
        <v>0</v>
      </c>
      <c r="J32" s="43">
        <v>0</v>
      </c>
      <c r="K32" s="43">
        <f t="shared" si="1"/>
        <v>0</v>
      </c>
      <c r="L32" s="43">
        <f t="shared" si="2"/>
        <v>-133917980.81213561</v>
      </c>
      <c r="M32" s="43">
        <f t="shared" si="3"/>
        <v>133917980.81213561</v>
      </c>
      <c r="N32" s="43">
        <f t="shared" si="6"/>
        <v>0</v>
      </c>
      <c r="O32" s="43">
        <f t="shared" si="4"/>
        <v>133917980.81213562</v>
      </c>
      <c r="P32" s="43">
        <f t="shared" si="5"/>
        <v>0</v>
      </c>
      <c r="Q32" s="86"/>
    </row>
    <row r="33" spans="2:17" x14ac:dyDescent="0.3">
      <c r="B33" s="42" t="s">
        <v>40</v>
      </c>
      <c r="C33" s="43">
        <f>SUMIF('Entrada 7TRAN'!$E$8:$E$43,'Reliquidación 7TRAN'!$B33,'Entrada 7TRAN'!F$8:F$43)</f>
        <v>965055.20000000007</v>
      </c>
      <c r="D33" s="43">
        <f>SUMIF('Entrada 7TRAN'!$E$8:$E$43,'Reliquidación 7TRAN'!$B33,'Entrada 7TRAN'!G$8:G$43)</f>
        <v>1955688.6</v>
      </c>
      <c r="E33" s="43">
        <f>SUMIF('Entrada 7TRAN'!$E$8:$E$43,'Reliquidación 7TRAN'!$B33,'Entrada 7TRAN'!H$8:H$43)</f>
        <v>31979</v>
      </c>
      <c r="F33" s="43">
        <f>SUMIF('Entrada 7TRAN'!$E$8:$E$43,'Reliquidación 7TRAN'!$B33,'Entrada 7TRAN'!I$8:I$43)</f>
        <v>78519.100000000006</v>
      </c>
      <c r="G33" s="43">
        <f>SUMIF('Entrada 7TRAN'!$E$8:$E$43,'Reliquidación 7TRAN'!$B33,'Entrada 7TRAN'!J$8:J$43)</f>
        <v>2143293.367248408</v>
      </c>
      <c r="H33" s="43">
        <v>2336207.1321668122</v>
      </c>
      <c r="I33" s="43">
        <f t="shared" si="0"/>
        <v>2356601.2137440485</v>
      </c>
      <c r="J33" s="43">
        <v>0</v>
      </c>
      <c r="K33" s="43">
        <f t="shared" si="1"/>
        <v>0</v>
      </c>
      <c r="L33" s="43">
        <f t="shared" si="2"/>
        <v>4499894.5809924565</v>
      </c>
      <c r="M33" s="43">
        <f t="shared" si="3"/>
        <v>0</v>
      </c>
      <c r="N33" s="43">
        <f t="shared" si="6"/>
        <v>4499894.5809924565</v>
      </c>
      <c r="O33" s="43">
        <f t="shared" si="4"/>
        <v>-3203931.3258642382</v>
      </c>
      <c r="P33" s="43">
        <f t="shared" si="5"/>
        <v>1295963.2551282183</v>
      </c>
      <c r="Q33" s="86"/>
    </row>
    <row r="34" spans="2:17" x14ac:dyDescent="0.3">
      <c r="B34" s="42" t="s">
        <v>41</v>
      </c>
      <c r="C34" s="43">
        <f>SUMIF('Entrada 7TRAN'!$E$8:$E$43,'Reliquidación 7TRAN'!$B34,'Entrada 7TRAN'!F$8:F$43)</f>
        <v>1334873.7</v>
      </c>
      <c r="D34" s="43">
        <f>SUMIF('Entrada 7TRAN'!$E$8:$E$43,'Reliquidación 7TRAN'!$B34,'Entrada 7TRAN'!G$8:G$43)</f>
        <v>10186127.682399999</v>
      </c>
      <c r="E34" s="43">
        <f>SUMIF('Entrada 7TRAN'!$E$8:$E$43,'Reliquidación 7TRAN'!$B34,'Entrada 7TRAN'!H$8:H$43)</f>
        <v>6799</v>
      </c>
      <c r="F34" s="43">
        <f>SUMIF('Entrada 7TRAN'!$E$8:$E$43,'Reliquidación 7TRAN'!$B34,'Entrada 7TRAN'!I$8:I$43)</f>
        <v>28421</v>
      </c>
      <c r="G34" s="43">
        <f>SUMIF('Entrada 7TRAN'!$E$8:$E$43,'Reliquidación 7TRAN'!$B34,'Entrada 7TRAN'!J$8:J$43)</f>
        <v>8631906.7236375362</v>
      </c>
      <c r="H34" s="43">
        <v>6269227.8278765781</v>
      </c>
      <c r="I34" s="43">
        <f t="shared" si="0"/>
        <v>6323955.4853636138</v>
      </c>
      <c r="J34" s="43">
        <v>0</v>
      </c>
      <c r="K34" s="43">
        <f t="shared" si="1"/>
        <v>0</v>
      </c>
      <c r="L34" s="43">
        <f t="shared" si="2"/>
        <v>14955862.20900115</v>
      </c>
      <c r="M34" s="43">
        <f t="shared" si="3"/>
        <v>0</v>
      </c>
      <c r="N34" s="43">
        <f t="shared" si="6"/>
        <v>14955862.20900115</v>
      </c>
      <c r="O34" s="43">
        <f t="shared" si="4"/>
        <v>-10648595.111345841</v>
      </c>
      <c r="P34" s="43">
        <f t="shared" si="5"/>
        <v>4307267.0976553094</v>
      </c>
      <c r="Q34" s="86"/>
    </row>
    <row r="35" spans="2:17" x14ac:dyDescent="0.3">
      <c r="B35" s="42" t="s">
        <v>42</v>
      </c>
      <c r="C35" s="43">
        <f>SUMIF('Entrada 7TRAN'!$E$8:$E$43,'Reliquidación 7TRAN'!$B35,'Entrada 7TRAN'!F$8:F$43)</f>
        <v>1944676.7</v>
      </c>
      <c r="D35" s="43">
        <f>SUMIF('Entrada 7TRAN'!$E$8:$E$43,'Reliquidación 7TRAN'!$B35,'Entrada 7TRAN'!G$8:G$43)</f>
        <v>6762805.0692999996</v>
      </c>
      <c r="E35" s="43">
        <f>SUMIF('Entrada 7TRAN'!$E$8:$E$43,'Reliquidación 7TRAN'!$B35,'Entrada 7TRAN'!H$8:H$43)</f>
        <v>321051.90000000002</v>
      </c>
      <c r="F35" s="43">
        <f>SUMIF('Entrada 7TRAN'!$E$8:$E$43,'Reliquidación 7TRAN'!$B35,'Entrada 7TRAN'!I$8:I$43)</f>
        <v>17759.500100000001</v>
      </c>
      <c r="G35" s="43">
        <f>SUMIF('Entrada 7TRAN'!$E$8:$E$43,'Reliquidación 7TRAN'!$B35,'Entrada 7TRAN'!J$8:J$43)</f>
        <v>5332455.9288298432</v>
      </c>
      <c r="H35" s="43">
        <v>4610104.0041650254</v>
      </c>
      <c r="I35" s="43">
        <f t="shared" si="0"/>
        <v>4650348.2255981155</v>
      </c>
      <c r="J35" s="43">
        <v>0</v>
      </c>
      <c r="K35" s="43">
        <f t="shared" si="1"/>
        <v>0</v>
      </c>
      <c r="L35" s="43">
        <f t="shared" si="2"/>
        <v>9982804.1544279587</v>
      </c>
      <c r="M35" s="43">
        <f t="shared" si="3"/>
        <v>0</v>
      </c>
      <c r="N35" s="43">
        <f t="shared" si="6"/>
        <v>9982804.1544279587</v>
      </c>
      <c r="O35" s="43">
        <f t="shared" si="4"/>
        <v>-7107770.7209943663</v>
      </c>
      <c r="P35" s="43">
        <f t="shared" si="5"/>
        <v>2875033.4334335923</v>
      </c>
      <c r="Q35" s="86"/>
    </row>
    <row r="36" spans="2:17" x14ac:dyDescent="0.3">
      <c r="B36" s="42" t="s">
        <v>43</v>
      </c>
      <c r="C36" s="43">
        <f>SUMIF('Entrada 7TRAN'!$E$8:$E$43,'Reliquidación 7TRAN'!$B36,'Entrada 7TRAN'!F$8:F$43)</f>
        <v>1579257.0001000001</v>
      </c>
      <c r="D36" s="43">
        <f>SUMIF('Entrada 7TRAN'!$E$8:$E$43,'Reliquidación 7TRAN'!$B36,'Entrada 7TRAN'!G$8:G$43)</f>
        <v>4465484.6717999997</v>
      </c>
      <c r="E36" s="43">
        <f>SUMIF('Entrada 7TRAN'!$E$8:$E$43,'Reliquidación 7TRAN'!$B36,'Entrada 7TRAN'!H$8:H$43)</f>
        <v>452815</v>
      </c>
      <c r="F36" s="43">
        <f>SUMIF('Entrada 7TRAN'!$E$8:$E$43,'Reliquidación 7TRAN'!$B36,'Entrada 7TRAN'!I$8:I$43)</f>
        <v>41824</v>
      </c>
      <c r="G36" s="43">
        <f>SUMIF('Entrada 7TRAN'!$E$8:$E$43,'Reliquidación 7TRAN'!$B36,'Entrada 7TRAN'!J$8:J$43)</f>
        <v>3719193.5168037661</v>
      </c>
      <c r="H36" s="43">
        <v>4262639.601298226</v>
      </c>
      <c r="I36" s="43">
        <f t="shared" si="0"/>
        <v>4299850.6082189195</v>
      </c>
      <c r="J36" s="43">
        <v>0</v>
      </c>
      <c r="K36" s="43">
        <f t="shared" si="1"/>
        <v>0</v>
      </c>
      <c r="L36" s="43">
        <f t="shared" si="2"/>
        <v>8019044.1250226852</v>
      </c>
      <c r="M36" s="43">
        <f t="shared" si="3"/>
        <v>0</v>
      </c>
      <c r="N36" s="43">
        <f t="shared" si="6"/>
        <v>8019044.1250226852</v>
      </c>
      <c r="O36" s="43">
        <f t="shared" si="4"/>
        <v>-5709570.7939854143</v>
      </c>
      <c r="P36" s="43">
        <f t="shared" si="5"/>
        <v>2309473.3310372708</v>
      </c>
      <c r="Q36" s="86"/>
    </row>
    <row r="37" spans="2:17" x14ac:dyDescent="0.3">
      <c r="B37" s="42" t="s">
        <v>45</v>
      </c>
      <c r="C37" s="43">
        <f>SUMIF('Entrada 7TRAN'!$E$8:$E$43,'Reliquidación 7TRAN'!$B37,'Entrada 7TRAN'!F$8:F$43)</f>
        <v>476010</v>
      </c>
      <c r="D37" s="43">
        <f>SUMIF('Entrada 7TRAN'!$E$8:$E$43,'Reliquidación 7TRAN'!$B37,'Entrada 7TRAN'!G$8:G$43)</f>
        <v>960144</v>
      </c>
      <c r="E37" s="43">
        <f>SUMIF('Entrada 7TRAN'!$E$8:$E$43,'Reliquidación 7TRAN'!$B37,'Entrada 7TRAN'!H$8:H$43)</f>
        <v>29248</v>
      </c>
      <c r="F37" s="43">
        <f>SUMIF('Entrada 7TRAN'!$E$8:$E$43,'Reliquidación 7TRAN'!$B37,'Entrada 7TRAN'!I$8:I$43)</f>
        <v>7810.9999999999991</v>
      </c>
      <c r="G37" s="43">
        <f>SUMIF('Entrada 7TRAN'!$E$8:$E$43,'Reliquidación 7TRAN'!$B37,'Entrada 7TRAN'!J$8:J$43)</f>
        <v>1030889.600419671</v>
      </c>
      <c r="H37" s="43">
        <v>763213.53933915088</v>
      </c>
      <c r="I37" s="43">
        <f t="shared" si="0"/>
        <v>769876.0646639911</v>
      </c>
      <c r="J37" s="43">
        <v>0</v>
      </c>
      <c r="K37" s="43">
        <f t="shared" si="1"/>
        <v>0</v>
      </c>
      <c r="L37" s="43">
        <f t="shared" si="2"/>
        <v>1800765.6650836621</v>
      </c>
      <c r="M37" s="43">
        <f t="shared" si="3"/>
        <v>0</v>
      </c>
      <c r="N37" s="43">
        <f t="shared" si="6"/>
        <v>1800765.6650836621</v>
      </c>
      <c r="O37" s="43">
        <f t="shared" si="4"/>
        <v>-1282147.7083647188</v>
      </c>
      <c r="P37" s="43">
        <f t="shared" si="5"/>
        <v>518617.95671894331</v>
      </c>
      <c r="Q37" s="86"/>
    </row>
    <row r="38" spans="2:17" x14ac:dyDescent="0.3">
      <c r="B38" s="42" t="s">
        <v>46</v>
      </c>
      <c r="C38" s="43">
        <f>SUMIF('Entrada 7TRAN'!$E$8:$E$43,'Reliquidación 7TRAN'!$B38,'Entrada 7TRAN'!F$8:F$43)</f>
        <v>4606619.6179999998</v>
      </c>
      <c r="D38" s="43">
        <f>SUMIF('Entrada 7TRAN'!$E$8:$E$43,'Reliquidación 7TRAN'!$B38,'Entrada 7TRAN'!G$8:G$43)</f>
        <v>17085954.833999999</v>
      </c>
      <c r="E38" s="43">
        <f>SUMIF('Entrada 7TRAN'!$E$8:$E$43,'Reliquidación 7TRAN'!$B38,'Entrada 7TRAN'!H$8:H$43)</f>
        <v>20098.5</v>
      </c>
      <c r="F38" s="43">
        <f>SUMIF('Entrada 7TRAN'!$E$8:$E$43,'Reliquidación 7TRAN'!$B38,'Entrada 7TRAN'!I$8:I$43)</f>
        <v>26831.017</v>
      </c>
      <c r="G38" s="43">
        <f>SUMIF('Entrada 7TRAN'!$E$8:$E$43,'Reliquidación 7TRAN'!$B38,'Entrada 7TRAN'!J$8:J$43)</f>
        <v>16362556.26641228</v>
      </c>
      <c r="H38" s="43">
        <v>12359877.7013829</v>
      </c>
      <c r="I38" s="43">
        <f t="shared" si="0"/>
        <v>12467774.107765699</v>
      </c>
      <c r="J38" s="43">
        <v>0</v>
      </c>
      <c r="K38" s="43">
        <f t="shared" si="1"/>
        <v>0</v>
      </c>
      <c r="L38" s="43">
        <f t="shared" si="2"/>
        <v>28830330.374177977</v>
      </c>
      <c r="M38" s="43">
        <f>IF(L38&lt;0,-L38,0)</f>
        <v>0</v>
      </c>
      <c r="N38" s="43">
        <f>IF(L38&gt;0,L38,0)</f>
        <v>28830330.374177977</v>
      </c>
      <c r="O38" s="43">
        <f t="shared" si="4"/>
        <v>-20527236.129267652</v>
      </c>
      <c r="P38" s="43">
        <f t="shared" si="5"/>
        <v>8303094.2449103259</v>
      </c>
      <c r="Q38" s="86"/>
    </row>
    <row r="39" spans="2:17" x14ac:dyDescent="0.3">
      <c r="B39" s="42" t="s">
        <v>47</v>
      </c>
      <c r="C39" s="43">
        <f>SUMIF('Entrada 7TRAN'!$E$8:$E$43,'Reliquidación 7TRAN'!$B39,'Entrada 7TRAN'!F$8:F$43)</f>
        <v>6151912.9299999997</v>
      </c>
      <c r="D39" s="43">
        <f>SUMIF('Entrada 7TRAN'!$E$8:$E$43,'Reliquidación 7TRAN'!$B39,'Entrada 7TRAN'!G$8:G$43)</f>
        <v>27401454.534000002</v>
      </c>
      <c r="E39" s="43">
        <f>SUMIF('Entrada 7TRAN'!$E$8:$E$43,'Reliquidación 7TRAN'!$B39,'Entrada 7TRAN'!H$8:H$43)</f>
        <v>26322.780999999999</v>
      </c>
      <c r="F39" s="43">
        <f>SUMIF('Entrada 7TRAN'!$E$8:$E$43,'Reliquidación 7TRAN'!$B39,'Entrada 7TRAN'!I$8:I$43)</f>
        <v>13555.007</v>
      </c>
      <c r="G39" s="43">
        <f>SUMIF('Entrada 7TRAN'!$E$8:$E$43,'Reliquidación 7TRAN'!$B39,'Entrada 7TRAN'!J$8:J$43)</f>
        <v>23794303.590071268</v>
      </c>
      <c r="H39" s="43">
        <v>17620872.213518977</v>
      </c>
      <c r="I39" s="43">
        <f t="shared" si="0"/>
        <v>17774694.834996574</v>
      </c>
      <c r="J39" s="43">
        <v>0</v>
      </c>
      <c r="K39" s="43">
        <f t="shared" si="1"/>
        <v>0</v>
      </c>
      <c r="L39" s="43">
        <f t="shared" si="2"/>
        <v>41568998.425067842</v>
      </c>
      <c r="M39" s="43">
        <f t="shared" si="3"/>
        <v>0</v>
      </c>
      <c r="N39" s="43">
        <f t="shared" si="6"/>
        <v>41568998.425067842</v>
      </c>
      <c r="O39" s="43">
        <f t="shared" si="4"/>
        <v>-29597185.854407758</v>
      </c>
      <c r="P39" s="43">
        <f t="shared" si="5"/>
        <v>11971812.570660084</v>
      </c>
      <c r="Q39" s="86"/>
    </row>
    <row r="40" spans="2:17" x14ac:dyDescent="0.3">
      <c r="B40" s="42" t="s">
        <v>48</v>
      </c>
      <c r="C40" s="43">
        <f>SUMIF('Entrada 7TRAN'!$E$8:$E$43,'Reliquidación 7TRAN'!$B40,'Entrada 7TRAN'!F$8:F$43)</f>
        <v>15361392.927999999</v>
      </c>
      <c r="D40" s="43">
        <f>SUMIF('Entrada 7TRAN'!$E$8:$E$43,'Reliquidación 7TRAN'!$B40,'Entrada 7TRAN'!G$8:G$43)</f>
        <v>53882088.978</v>
      </c>
      <c r="E40" s="43">
        <f>SUMIF('Entrada 7TRAN'!$E$8:$E$43,'Reliquidación 7TRAN'!$B40,'Entrada 7TRAN'!H$8:H$43)</f>
        <v>52005.78</v>
      </c>
      <c r="F40" s="43">
        <f>SUMIF('Entrada 7TRAN'!$E$8:$E$43,'Reliquidación 7TRAN'!$B40,'Entrada 7TRAN'!I$8:I$43)</f>
        <v>42190.247000000003</v>
      </c>
      <c r="G40" s="43">
        <f>SUMIF('Entrada 7TRAN'!$E$8:$E$43,'Reliquidación 7TRAN'!$B40,'Entrada 7TRAN'!J$8:J$43)</f>
        <v>-119538754.688622</v>
      </c>
      <c r="H40" s="43">
        <v>0</v>
      </c>
      <c r="I40" s="43">
        <f t="shared" si="0"/>
        <v>0</v>
      </c>
      <c r="J40" s="43">
        <v>0</v>
      </c>
      <c r="K40" s="43">
        <f t="shared" si="1"/>
        <v>0</v>
      </c>
      <c r="L40" s="43">
        <f t="shared" si="2"/>
        <v>-119538754.688622</v>
      </c>
      <c r="M40" s="43">
        <f t="shared" si="3"/>
        <v>119538754.688622</v>
      </c>
      <c r="N40" s="43">
        <f t="shared" si="6"/>
        <v>0</v>
      </c>
      <c r="O40" s="43">
        <f t="shared" si="4"/>
        <v>119538754.688622</v>
      </c>
      <c r="P40" s="43">
        <f t="shared" si="5"/>
        <v>0</v>
      </c>
      <c r="Q40" s="86"/>
    </row>
    <row r="41" spans="2:17" x14ac:dyDescent="0.3">
      <c r="B41" s="42" t="s">
        <v>49</v>
      </c>
      <c r="C41" s="43">
        <f>SUMIF('Entrada 7TRAN'!$E$8:$E$43,'Reliquidación 7TRAN'!$B41,'Entrada 7TRAN'!F$8:F$43)</f>
        <v>0</v>
      </c>
      <c r="D41" s="43">
        <f>SUMIF('Entrada 7TRAN'!$E$8:$E$43,'Reliquidación 7TRAN'!$B41,'Entrada 7TRAN'!G$8:G$43)</f>
        <v>0</v>
      </c>
      <c r="E41" s="43">
        <f>SUMIF('Entrada 7TRAN'!$E$8:$E$43,'Reliquidación 7TRAN'!$B41,'Entrada 7TRAN'!H$8:H$43)</f>
        <v>0</v>
      </c>
      <c r="F41" s="43">
        <f>SUMIF('Entrada 7TRAN'!$E$8:$E$43,'Reliquidación 7TRAN'!$B41,'Entrada 7TRAN'!I$8:I$43)</f>
        <v>0</v>
      </c>
      <c r="G41" s="43">
        <f>SUMIF('Entrada 7TRAN'!$E$8:$E$43,'Reliquidación 7TRAN'!$B41,'Entrada 7TRAN'!J$8:J$43)</f>
        <v>0</v>
      </c>
      <c r="H41" s="43">
        <v>0</v>
      </c>
      <c r="I41" s="43">
        <f t="shared" si="0"/>
        <v>0</v>
      </c>
      <c r="J41" s="43">
        <v>0</v>
      </c>
      <c r="K41" s="43">
        <f t="shared" si="1"/>
        <v>0</v>
      </c>
      <c r="L41" s="43">
        <f t="shared" si="2"/>
        <v>0</v>
      </c>
      <c r="M41" s="43">
        <f>IF(L41&lt;0,-L41,0)</f>
        <v>0</v>
      </c>
      <c r="N41" s="43">
        <f>IF(L41&gt;0,L41,0)</f>
        <v>0</v>
      </c>
      <c r="O41" s="43">
        <f t="shared" si="4"/>
        <v>0</v>
      </c>
      <c r="P41" s="43">
        <f>L41+O41</f>
        <v>0</v>
      </c>
      <c r="Q41" s="86"/>
    </row>
    <row r="42" spans="2:17" x14ac:dyDescent="0.3">
      <c r="B42" s="42" t="s">
        <v>50</v>
      </c>
      <c r="C42" s="43">
        <f>SUMIF('Entrada 7TRAN'!$E$8:$E$43,'Reliquidación 7TRAN'!$B42,'Entrada 7TRAN'!F$8:F$43)</f>
        <v>0</v>
      </c>
      <c r="D42" s="43">
        <f>SUMIF('Entrada 7TRAN'!$E$8:$E$43,'Reliquidación 7TRAN'!$B42,'Entrada 7TRAN'!G$8:G$43)</f>
        <v>14866</v>
      </c>
      <c r="E42" s="43">
        <f>SUMIF('Entrada 7TRAN'!$E$8:$E$43,'Reliquidación 7TRAN'!$B42,'Entrada 7TRAN'!H$8:H$43)</f>
        <v>0</v>
      </c>
      <c r="F42" s="43">
        <f>SUMIF('Entrada 7TRAN'!$E$8:$E$43,'Reliquidación 7TRAN'!$B42,'Entrada 7TRAN'!I$8:I$43)</f>
        <v>0</v>
      </c>
      <c r="G42" s="43">
        <f>SUMIF('Entrada 7TRAN'!$E$8:$E$43,'Reliquidación 7TRAN'!$B42,'Entrada 7TRAN'!J$8:J$43)</f>
        <v>16255.873157742581</v>
      </c>
      <c r="H42" s="43">
        <v>12138.028486256107</v>
      </c>
      <c r="I42" s="43">
        <f t="shared" si="0"/>
        <v>12243.988244587095</v>
      </c>
      <c r="J42" s="43">
        <v>0</v>
      </c>
      <c r="K42" s="43">
        <f t="shared" si="1"/>
        <v>0</v>
      </c>
      <c r="L42" s="43">
        <f t="shared" si="2"/>
        <v>28499.861402329676</v>
      </c>
      <c r="M42" s="43">
        <f>IF(L42&lt;0,-L42,0)</f>
        <v>0</v>
      </c>
      <c r="N42" s="43">
        <f>IF(L42&gt;0,L42,0)</f>
        <v>28499.861402329676</v>
      </c>
      <c r="O42" s="43">
        <f t="shared" si="4"/>
        <v>-20291.941752460851</v>
      </c>
      <c r="P42" s="43">
        <f>L42+O42</f>
        <v>8207.9196498688252</v>
      </c>
      <c r="Q42" s="86"/>
    </row>
    <row r="43" spans="2:17" x14ac:dyDescent="0.3">
      <c r="B43" s="44" t="s">
        <v>51</v>
      </c>
      <c r="C43" s="45">
        <f>SUMIF('Entrada 7TRAN'!$E$8:$E$43,'Reliquidación 7TRAN'!$B43,'Entrada 7TRAN'!F$8:F$43)</f>
        <v>32785.800000000003</v>
      </c>
      <c r="D43" s="45">
        <f>SUMIF('Entrada 7TRAN'!$E$8:$E$43,'Reliquidación 7TRAN'!$B43,'Entrada 7TRAN'!G$8:G$43)</f>
        <v>63849.4</v>
      </c>
      <c r="E43" s="45">
        <f>SUMIF('Entrada 7TRAN'!$E$8:$E$43,'Reliquidación 7TRAN'!$B43,'Entrada 7TRAN'!H$8:H$43)</f>
        <v>0</v>
      </c>
      <c r="F43" s="45">
        <f>SUMIF('Entrada 7TRAN'!$E$8:$E$43,'Reliquidación 7TRAN'!$B43,'Entrada 7TRAN'!I$8:I$43)</f>
        <v>0</v>
      </c>
      <c r="G43" s="45">
        <f>SUMIF('Entrada 7TRAN'!$E$8:$E$43,'Reliquidación 7TRAN'!$B43,'Entrada 7TRAN'!J$8:J$43)</f>
        <v>-3023144.4087765282</v>
      </c>
      <c r="H43" s="45">
        <v>0</v>
      </c>
      <c r="I43" s="45">
        <f t="shared" si="0"/>
        <v>0</v>
      </c>
      <c r="J43" s="45">
        <v>0</v>
      </c>
      <c r="K43" s="45">
        <f t="shared" si="1"/>
        <v>0</v>
      </c>
      <c r="L43" s="45">
        <f t="shared" si="2"/>
        <v>-3023144.4087765282</v>
      </c>
      <c r="M43" s="45">
        <f t="shared" si="3"/>
        <v>3023144.4087765282</v>
      </c>
      <c r="N43" s="45">
        <f t="shared" si="6"/>
        <v>0</v>
      </c>
      <c r="O43" s="45">
        <f>IF(OR($M$44=0,$N$44=0),0,((M43/$M$44-N43/$N$44)*$N$49))</f>
        <v>3023144.4087765282</v>
      </c>
      <c r="P43" s="45">
        <f t="shared" si="5"/>
        <v>0</v>
      </c>
      <c r="Q43" s="86"/>
    </row>
    <row r="44" spans="2:17" x14ac:dyDescent="0.3">
      <c r="B44" s="46" t="s">
        <v>66</v>
      </c>
      <c r="C44" s="16">
        <f t="shared" ref="C44:O44" si="7">SUM(C9:C43)</f>
        <v>437574210.52950925</v>
      </c>
      <c r="D44" s="16">
        <f t="shared" si="7"/>
        <v>1798945383.7520473</v>
      </c>
      <c r="E44" s="16">
        <f t="shared" si="7"/>
        <v>11167198.16</v>
      </c>
      <c r="F44" s="16">
        <f t="shared" si="7"/>
        <v>2968546.9511000002</v>
      </c>
      <c r="G44" s="16">
        <f t="shared" si="7"/>
        <v>-77287976.552677125</v>
      </c>
      <c r="H44" s="16">
        <f t="shared" si="7"/>
        <v>629095208.7865653</v>
      </c>
      <c r="I44" s="16">
        <f>SUM(I9:I43)</f>
        <v>634586938.87812686</v>
      </c>
      <c r="J44" s="16">
        <f t="shared" ref="J44:K44" si="8">SUM(J9:J43)</f>
        <v>-129343671</v>
      </c>
      <c r="K44" s="16">
        <f t="shared" si="8"/>
        <v>-130472785.51281574</v>
      </c>
      <c r="L44" s="16">
        <f>SUM(L9:L43)</f>
        <v>426826176.81263405</v>
      </c>
      <c r="M44" s="16">
        <f t="shared" si="7"/>
        <v>1055216460.1716033</v>
      </c>
      <c r="N44" s="16">
        <f t="shared" si="7"/>
        <v>1482042636.9842374</v>
      </c>
      <c r="O44" s="16">
        <f t="shared" si="7"/>
        <v>6.891787052154541E-8</v>
      </c>
      <c r="P44" s="16">
        <f>SUM(P9:P43)</f>
        <v>426826176.81263411</v>
      </c>
    </row>
    <row r="45" spans="2:17" x14ac:dyDescent="0.3">
      <c r="B45" s="50"/>
      <c r="C45"/>
      <c r="D45"/>
      <c r="E45"/>
      <c r="F45"/>
      <c r="G45"/>
      <c r="H45"/>
      <c r="I45"/>
      <c r="J45"/>
      <c r="K45"/>
      <c r="L45"/>
      <c r="M45" s="51"/>
      <c r="N45" s="51"/>
      <c r="O45"/>
    </row>
    <row r="46" spans="2:17" x14ac:dyDescent="0.3"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2:17" x14ac:dyDescent="0.3">
      <c r="B47"/>
      <c r="C47"/>
      <c r="H47" s="58"/>
      <c r="I47" s="17"/>
      <c r="J47" s="17"/>
      <c r="K47" s="17"/>
      <c r="L47" s="17"/>
      <c r="M47" s="7" t="s">
        <v>91</v>
      </c>
      <c r="N47" s="53">
        <f>N44</f>
        <v>1482042636.9842374</v>
      </c>
      <c r="O47"/>
    </row>
    <row r="48" spans="2:17" x14ac:dyDescent="0.3">
      <c r="B48"/>
      <c r="C48"/>
      <c r="H48" s="52"/>
      <c r="I48" s="17"/>
      <c r="J48" s="17"/>
      <c r="K48" s="17"/>
      <c r="L48" s="17"/>
      <c r="M48" s="7" t="s">
        <v>92</v>
      </c>
      <c r="N48" s="53">
        <f>M44</f>
        <v>1055216460.1716033</v>
      </c>
      <c r="O48"/>
    </row>
    <row r="49" spans="2:16" x14ac:dyDescent="0.3">
      <c r="B49"/>
      <c r="C49"/>
      <c r="H49" s="52"/>
      <c r="I49"/>
      <c r="J49"/>
      <c r="K49"/>
      <c r="L49"/>
      <c r="M49" s="7" t="s">
        <v>69</v>
      </c>
      <c r="N49" s="53">
        <f>+IF(N48&lt;N47,N48,N47)</f>
        <v>1055216460.1716033</v>
      </c>
      <c r="O49"/>
      <c r="P49" s="54"/>
    </row>
    <row r="50" spans="2:16" x14ac:dyDescent="0.3">
      <c r="M50" s="17"/>
      <c r="N50"/>
    </row>
    <row r="51" spans="2:16" x14ac:dyDescent="0.3">
      <c r="G51" s="54"/>
      <c r="H51" s="54"/>
    </row>
    <row r="52" spans="2:16" x14ac:dyDescent="0.3">
      <c r="H52" s="11"/>
    </row>
  </sheetData>
  <dataConsolidate/>
  <mergeCells count="15">
    <mergeCell ref="N6:N7"/>
    <mergeCell ref="O6:O7"/>
    <mergeCell ref="P6:P7"/>
    <mergeCell ref="H6:H7"/>
    <mergeCell ref="I6:I7"/>
    <mergeCell ref="J6:J7"/>
    <mergeCell ref="K6:K7"/>
    <mergeCell ref="L6:L7"/>
    <mergeCell ref="M6:M7"/>
    <mergeCell ref="B6:B8"/>
    <mergeCell ref="C6:C7"/>
    <mergeCell ref="D6:D7"/>
    <mergeCell ref="E6:E7"/>
    <mergeCell ref="F6:F7"/>
    <mergeCell ref="G6:G7"/>
  </mergeCells>
  <pageMargins left="0.75" right="0.75" top="1" bottom="1" header="0" footer="0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A00E-8C2C-49E2-AC46-F70E2942DC53}">
  <sheetPr codeName="Hoja3">
    <tabColor theme="7" tint="0.79998168889431442"/>
  </sheetPr>
  <dimension ref="A2:O91"/>
  <sheetViews>
    <sheetView topLeftCell="A23" zoomScale="70" zoomScaleNormal="70" workbookViewId="0">
      <selection activeCell="Q72" sqref="Q72"/>
    </sheetView>
  </sheetViews>
  <sheetFormatPr baseColWidth="10" defaultColWidth="11.3984375" defaultRowHeight="13" x14ac:dyDescent="0.3"/>
  <cols>
    <col min="1" max="1" width="9.09765625" style="87" customWidth="1"/>
    <col min="2" max="2" width="23.8984375" style="87" customWidth="1"/>
    <col min="3" max="3" width="17" style="87" customWidth="1"/>
    <col min="4" max="4" width="16.09765625" style="87" customWidth="1"/>
    <col min="5" max="5" width="20.296875" style="87" customWidth="1"/>
    <col min="6" max="6" width="20.09765625" style="87" customWidth="1"/>
    <col min="7" max="7" width="15.69921875" style="87" customWidth="1"/>
    <col min="8" max="8" width="9.8984375" style="87" customWidth="1"/>
    <col min="9" max="9" width="13.59765625" style="87" customWidth="1"/>
    <col min="10" max="10" width="13.69921875" style="87" customWidth="1"/>
    <col min="11" max="11" width="14" style="87" bestFit="1" customWidth="1"/>
    <col min="12" max="12" width="14.69921875" style="87" customWidth="1"/>
    <col min="13" max="16" width="10.8984375" style="87" customWidth="1"/>
    <col min="17" max="17" width="13.296875" style="87" bestFit="1" customWidth="1"/>
    <col min="18" max="18" width="15.8984375" style="87" bestFit="1" customWidth="1"/>
    <col min="19" max="19" width="17" style="87" bestFit="1" customWidth="1"/>
    <col min="20" max="20" width="17.8984375" style="87" customWidth="1"/>
    <col min="21" max="16384" width="11.3984375" style="87"/>
  </cols>
  <sheetData>
    <row r="2" spans="1:10" x14ac:dyDescent="0.3">
      <c r="B2" s="88" t="s">
        <v>96</v>
      </c>
      <c r="C2" s="88"/>
      <c r="D2" s="88"/>
      <c r="E2" s="88"/>
      <c r="F2" s="88"/>
      <c r="G2" s="88"/>
      <c r="H2" s="88"/>
      <c r="J2" s="50" t="s">
        <v>94</v>
      </c>
    </row>
    <row r="3" spans="1:10" x14ac:dyDescent="0.3">
      <c r="B3" s="89">
        <f>FechaFacturacion</f>
        <v>45839</v>
      </c>
      <c r="C3" s="90"/>
      <c r="D3" s="90"/>
      <c r="E3" s="90"/>
      <c r="F3" s="90"/>
      <c r="G3" s="90"/>
      <c r="H3" s="90"/>
    </row>
    <row r="6" spans="1:10" ht="12.75" customHeight="1" x14ac:dyDescent="0.3">
      <c r="B6" s="91" t="s">
        <v>6</v>
      </c>
      <c r="C6" s="92" t="s">
        <v>78</v>
      </c>
      <c r="E6" s="91" t="s">
        <v>6</v>
      </c>
      <c r="F6" s="29" t="s">
        <v>79</v>
      </c>
      <c r="G6" s="92" t="s">
        <v>80</v>
      </c>
      <c r="I6" s="91" t="s">
        <v>81</v>
      </c>
      <c r="J6" s="93" cm="1">
        <f t="array" ref="J6">SUMPRODUCT(($G$8:$G$32&gt;0)*($G$8:$G$32))</f>
        <v>978488024.17592084</v>
      </c>
    </row>
    <row r="7" spans="1:10" ht="27" customHeight="1" x14ac:dyDescent="0.3">
      <c r="B7" s="91"/>
      <c r="C7" s="95"/>
      <c r="E7" s="91"/>
      <c r="F7" s="34"/>
      <c r="G7" s="95"/>
      <c r="I7" s="91"/>
      <c r="J7" s="93"/>
    </row>
    <row r="8" spans="1:10" x14ac:dyDescent="0.3">
      <c r="B8" s="96" t="s">
        <v>14</v>
      </c>
      <c r="C8" s="97">
        <f>'Reliquidación 7TRAN'!O9</f>
        <v>-5426113.901595775</v>
      </c>
      <c r="D8" s="98"/>
      <c r="E8" s="96" t="s">
        <v>14</v>
      </c>
      <c r="F8" s="99">
        <v>0</v>
      </c>
      <c r="G8" s="99">
        <f>VLOOKUP(E8,$B$8:$C$42,2,0)+F8</f>
        <v>-5426113.901595775</v>
      </c>
      <c r="H8" s="100"/>
      <c r="J8" s="50"/>
    </row>
    <row r="9" spans="1:10" x14ac:dyDescent="0.3">
      <c r="B9" s="101" t="s">
        <v>15</v>
      </c>
      <c r="C9" s="99">
        <f>'Reliquidación 7TRAN'!O10</f>
        <v>-3702963.9589187112</v>
      </c>
      <c r="D9" s="98"/>
      <c r="E9" s="101" t="s">
        <v>15</v>
      </c>
      <c r="F9" s="99">
        <v>0</v>
      </c>
      <c r="G9" s="99">
        <f>VLOOKUP(E9,$B$8:$C$42,2,0)+F9</f>
        <v>-3702963.9589187112</v>
      </c>
      <c r="H9" s="100"/>
      <c r="J9" s="50"/>
    </row>
    <row r="10" spans="1:10" x14ac:dyDescent="0.3">
      <c r="B10" s="101" t="s">
        <v>16</v>
      </c>
      <c r="C10" s="99">
        <f>'Reliquidación 7TRAN'!O11</f>
        <v>-8813517.1391879972</v>
      </c>
      <c r="D10" s="98"/>
      <c r="E10" s="101" t="s">
        <v>16</v>
      </c>
      <c r="F10" s="99">
        <v>0</v>
      </c>
      <c r="G10" s="99">
        <f>VLOOKUP(E10,$B$8:$C$42,2,0)+F10</f>
        <v>-8813517.1391879972</v>
      </c>
      <c r="H10" s="100"/>
      <c r="J10" s="50"/>
    </row>
    <row r="11" spans="1:10" x14ac:dyDescent="0.3">
      <c r="B11" s="101" t="s">
        <v>17</v>
      </c>
      <c r="C11" s="99">
        <f>'Reliquidación 7TRAN'!O12</f>
        <v>-2115652.7364252945</v>
      </c>
      <c r="D11" s="98"/>
      <c r="E11" s="101" t="s">
        <v>17</v>
      </c>
      <c r="F11" s="99">
        <v>0</v>
      </c>
      <c r="G11" s="99">
        <f>VLOOKUP(E11,$B$8:$C$42,2,0)+F11</f>
        <v>-2115652.7364252945</v>
      </c>
      <c r="H11" s="100"/>
      <c r="I11" s="50"/>
      <c r="J11" s="50"/>
    </row>
    <row r="12" spans="1:10" x14ac:dyDescent="0.3">
      <c r="B12" s="101" t="s">
        <v>18</v>
      </c>
      <c r="C12" s="99">
        <f>'Reliquidación 7TRAN'!O13</f>
        <v>670097233.91437173</v>
      </c>
      <c r="D12" s="98"/>
      <c r="E12" s="101" t="s">
        <v>82</v>
      </c>
      <c r="F12" s="99">
        <v>0</v>
      </c>
      <c r="G12" s="99">
        <f>C12+C13+C14+C15+C16+C18+C19+C20+C37+C38+C39+F12</f>
        <v>841546898.95500875</v>
      </c>
      <c r="H12" s="100"/>
      <c r="I12" s="50"/>
      <c r="J12" s="50"/>
    </row>
    <row r="13" spans="1:10" x14ac:dyDescent="0.3">
      <c r="B13" s="101" t="s">
        <v>20</v>
      </c>
      <c r="C13" s="99">
        <f>'Reliquidación 7TRAN'!O14</f>
        <v>-843635.92853846052</v>
      </c>
      <c r="D13" s="98"/>
      <c r="E13" s="101" t="s">
        <v>83</v>
      </c>
      <c r="F13" s="99">
        <v>0</v>
      </c>
      <c r="G13" s="99">
        <f>C17+F13</f>
        <v>-674736284.43401217</v>
      </c>
      <c r="H13" s="100"/>
      <c r="I13" s="50"/>
      <c r="J13" s="50"/>
    </row>
    <row r="14" spans="1:10" x14ac:dyDescent="0.3">
      <c r="B14" s="101" t="s">
        <v>21</v>
      </c>
      <c r="C14" s="99">
        <f>'Reliquidación 7TRAN'!O15</f>
        <v>24943798.642333079</v>
      </c>
      <c r="D14" s="98"/>
      <c r="E14" s="101" t="s">
        <v>29</v>
      </c>
      <c r="F14" s="99">
        <v>0</v>
      </c>
      <c r="G14" s="99">
        <f>VLOOKUP(E14,$B$8:$C$42,2,0)+F14</f>
        <v>-8656433.5376085248</v>
      </c>
      <c r="H14" s="100"/>
      <c r="I14" s="50"/>
      <c r="J14" s="50"/>
    </row>
    <row r="15" spans="1:10" x14ac:dyDescent="0.3">
      <c r="B15" s="101" t="s">
        <v>22</v>
      </c>
      <c r="C15" s="99">
        <f>'Reliquidación 7TRAN'!O16</f>
        <v>0</v>
      </c>
      <c r="D15" s="98"/>
      <c r="E15" s="101" t="s">
        <v>30</v>
      </c>
      <c r="F15" s="99">
        <v>0</v>
      </c>
      <c r="G15" s="99">
        <f t="shared" ref="G15:G32" si="0">VLOOKUP(E15,$B$8:$C$42,2,0)+F15</f>
        <v>-16203766.071881602</v>
      </c>
      <c r="H15" s="100"/>
      <c r="I15" s="50"/>
      <c r="J15" s="50"/>
    </row>
    <row r="16" spans="1:10" x14ac:dyDescent="0.3">
      <c r="A16" s="50"/>
      <c r="B16" s="101" t="s">
        <v>23</v>
      </c>
      <c r="C16" s="99">
        <f>'Reliquidación 7TRAN'!O17</f>
        <v>0</v>
      </c>
      <c r="D16" s="98"/>
      <c r="E16" s="101" t="s">
        <v>31</v>
      </c>
      <c r="F16" s="99">
        <v>0</v>
      </c>
      <c r="G16" s="99">
        <f t="shared" si="0"/>
        <v>-14957275.386648417</v>
      </c>
      <c r="H16" s="100"/>
      <c r="I16" s="50"/>
      <c r="J16" s="50"/>
    </row>
    <row r="17" spans="1:10" x14ac:dyDescent="0.3">
      <c r="B17" s="101" t="s">
        <v>24</v>
      </c>
      <c r="C17" s="99">
        <f>'Reliquidación 7TRAN'!O18</f>
        <v>-674736284.43401217</v>
      </c>
      <c r="D17" s="98"/>
      <c r="E17" s="101" t="s">
        <v>32</v>
      </c>
      <c r="F17" s="99">
        <v>0</v>
      </c>
      <c r="G17" s="99">
        <f t="shared" si="0"/>
        <v>-2820293.305175385</v>
      </c>
      <c r="H17" s="100"/>
      <c r="I17" s="50"/>
      <c r="J17" s="50"/>
    </row>
    <row r="18" spans="1:10" x14ac:dyDescent="0.3">
      <c r="B18" s="101" t="s">
        <v>26</v>
      </c>
      <c r="C18" s="99">
        <f>'Reliquidación 7TRAN'!O19</f>
        <v>103695547.70536441</v>
      </c>
      <c r="D18" s="98"/>
      <c r="E18" s="101" t="s">
        <v>33</v>
      </c>
      <c r="F18" s="99">
        <v>0</v>
      </c>
      <c r="G18" s="99">
        <f t="shared" si="0"/>
        <v>-2886098.595698711</v>
      </c>
      <c r="H18" s="100"/>
      <c r="I18" s="50"/>
      <c r="J18" s="50"/>
    </row>
    <row r="19" spans="1:10" x14ac:dyDescent="0.3">
      <c r="B19" s="101" t="s">
        <v>27</v>
      </c>
      <c r="C19" s="99">
        <f>'Reliquidación 7TRAN'!O20</f>
        <v>-25760378.083468497</v>
      </c>
      <c r="D19" s="98"/>
      <c r="E19" s="101" t="s">
        <v>34</v>
      </c>
      <c r="F19" s="99">
        <v>0</v>
      </c>
      <c r="G19" s="99">
        <f t="shared" si="0"/>
        <v>-6396280.0223824028</v>
      </c>
      <c r="H19" s="100"/>
      <c r="I19" s="50"/>
      <c r="J19" s="50"/>
    </row>
    <row r="20" spans="1:10" x14ac:dyDescent="0.3">
      <c r="B20" s="101" t="s">
        <v>28</v>
      </c>
      <c r="C20" s="99">
        <f>'Reliquidación 7TRAN'!O21</f>
        <v>0</v>
      </c>
      <c r="D20" s="98"/>
      <c r="E20" s="101" t="s">
        <v>35</v>
      </c>
      <c r="F20" s="99">
        <v>0</v>
      </c>
      <c r="G20" s="99">
        <f t="shared" si="0"/>
        <v>-61647484.961690836</v>
      </c>
      <c r="H20" s="100"/>
      <c r="I20" s="50"/>
      <c r="J20" s="50"/>
    </row>
    <row r="21" spans="1:10" x14ac:dyDescent="0.3">
      <c r="B21" s="101" t="s">
        <v>29</v>
      </c>
      <c r="C21" s="99">
        <f>'Reliquidación 7TRAN'!O22</f>
        <v>-8656433.5376085248</v>
      </c>
      <c r="D21" s="98"/>
      <c r="E21" s="101" t="s">
        <v>36</v>
      </c>
      <c r="F21" s="99">
        <v>0</v>
      </c>
      <c r="G21" s="99">
        <f t="shared" si="0"/>
        <v>-11176320.067461513</v>
      </c>
      <c r="H21" s="100"/>
      <c r="I21" s="50"/>
      <c r="J21" s="50"/>
    </row>
    <row r="22" spans="1:10" x14ac:dyDescent="0.3">
      <c r="B22" s="101" t="s">
        <v>30</v>
      </c>
      <c r="C22" s="99">
        <f>'Reliquidación 7TRAN'!O23</f>
        <v>-16203766.071881602</v>
      </c>
      <c r="D22" s="98"/>
      <c r="E22" s="101" t="s">
        <v>37</v>
      </c>
      <c r="F22" s="99">
        <v>0</v>
      </c>
      <c r="G22" s="99">
        <f t="shared" si="0"/>
        <v>-127126924.58950832</v>
      </c>
      <c r="H22" s="100"/>
      <c r="I22" s="50"/>
      <c r="J22" s="50"/>
    </row>
    <row r="23" spans="1:10" x14ac:dyDescent="0.3">
      <c r="B23" s="101" t="s">
        <v>31</v>
      </c>
      <c r="C23" s="99">
        <f>'Reliquidación 7TRAN'!O24</f>
        <v>-14957275.386648417</v>
      </c>
      <c r="D23" s="98"/>
      <c r="E23" s="101" t="s">
        <v>38</v>
      </c>
      <c r="F23" s="99">
        <v>0</v>
      </c>
      <c r="G23" s="99">
        <f t="shared" si="0"/>
        <v>-3850307.8654182251</v>
      </c>
      <c r="H23" s="100"/>
      <c r="I23" s="50"/>
      <c r="J23" s="50"/>
    </row>
    <row r="24" spans="1:10" x14ac:dyDescent="0.3">
      <c r="B24" s="101" t="s">
        <v>32</v>
      </c>
      <c r="C24" s="99">
        <f>'Reliquidación 7TRAN'!O25</f>
        <v>-2820293.305175385</v>
      </c>
      <c r="D24" s="98"/>
      <c r="E24" s="101" t="s">
        <v>39</v>
      </c>
      <c r="F24" s="99">
        <v>0</v>
      </c>
      <c r="G24" s="99">
        <f t="shared" si="0"/>
        <v>133917980.81213562</v>
      </c>
      <c r="H24" s="100"/>
      <c r="I24" s="50"/>
      <c r="J24" s="50"/>
    </row>
    <row r="25" spans="1:10" x14ac:dyDescent="0.3">
      <c r="B25" s="101" t="s">
        <v>33</v>
      </c>
      <c r="C25" s="99">
        <f>'Reliquidación 7TRAN'!O26</f>
        <v>-2886098.595698711</v>
      </c>
      <c r="D25" s="98"/>
      <c r="E25" s="101" t="s">
        <v>40</v>
      </c>
      <c r="F25" s="99">
        <v>0</v>
      </c>
      <c r="G25" s="99">
        <f t="shared" si="0"/>
        <v>-3203931.3258642382</v>
      </c>
      <c r="H25" s="100"/>
      <c r="I25" s="50"/>
      <c r="J25" s="50"/>
    </row>
    <row r="26" spans="1:10" x14ac:dyDescent="0.3">
      <c r="B26" s="101" t="s">
        <v>34</v>
      </c>
      <c r="C26" s="99">
        <f>'Reliquidación 7TRAN'!O27</f>
        <v>-6396280.0223824028</v>
      </c>
      <c r="D26" s="98"/>
      <c r="E26" s="101" t="s">
        <v>41</v>
      </c>
      <c r="F26" s="99">
        <v>0</v>
      </c>
      <c r="G26" s="99">
        <f t="shared" si="0"/>
        <v>-10648595.111345841</v>
      </c>
      <c r="H26" s="100"/>
      <c r="I26" s="50"/>
      <c r="J26" s="50"/>
    </row>
    <row r="27" spans="1:10" x14ac:dyDescent="0.3">
      <c r="B27" s="101" t="s">
        <v>35</v>
      </c>
      <c r="C27" s="99">
        <f>'Reliquidación 7TRAN'!O28</f>
        <v>-61647484.961690836</v>
      </c>
      <c r="D27" s="98"/>
      <c r="E27" s="101" t="s">
        <v>42</v>
      </c>
      <c r="F27" s="99">
        <v>0</v>
      </c>
      <c r="G27" s="99">
        <f t="shared" si="0"/>
        <v>-7107770.7209943663</v>
      </c>
      <c r="H27" s="100"/>
      <c r="I27" s="50"/>
      <c r="J27" s="50"/>
    </row>
    <row r="28" spans="1:10" x14ac:dyDescent="0.3">
      <c r="B28" s="101" t="s">
        <v>36</v>
      </c>
      <c r="C28" s="99">
        <f>'Reliquidación 7TRAN'!O29</f>
        <v>-11176320.067461513</v>
      </c>
      <c r="D28" s="98"/>
      <c r="E28" s="101" t="s">
        <v>43</v>
      </c>
      <c r="F28" s="99">
        <v>0</v>
      </c>
      <c r="G28" s="99">
        <f t="shared" si="0"/>
        <v>-5709570.7939854143</v>
      </c>
      <c r="H28" s="100"/>
      <c r="I28" s="50"/>
      <c r="J28" s="50"/>
    </row>
    <row r="29" spans="1:10" x14ac:dyDescent="0.3">
      <c r="A29" s="50"/>
      <c r="B29" s="101" t="s">
        <v>37</v>
      </c>
      <c r="C29" s="99">
        <f>'Reliquidación 7TRAN'!O30</f>
        <v>-127126924.58950832</v>
      </c>
      <c r="D29" s="98"/>
      <c r="E29" s="101" t="s">
        <v>45</v>
      </c>
      <c r="F29" s="99">
        <v>0</v>
      </c>
      <c r="G29" s="99">
        <f t="shared" si="0"/>
        <v>-1282147.7083647188</v>
      </c>
      <c r="H29" s="100"/>
      <c r="I29" s="50"/>
      <c r="J29" s="50"/>
    </row>
    <row r="30" spans="1:10" x14ac:dyDescent="0.3">
      <c r="B30" s="101" t="s">
        <v>38</v>
      </c>
      <c r="C30" s="99">
        <f>'Reliquidación 7TRAN'!O31</f>
        <v>-3850307.8654182251</v>
      </c>
      <c r="D30" s="98"/>
      <c r="E30" s="101" t="s">
        <v>49</v>
      </c>
      <c r="F30" s="99">
        <v>0</v>
      </c>
      <c r="G30" s="99">
        <f t="shared" si="0"/>
        <v>0</v>
      </c>
      <c r="H30" s="100"/>
      <c r="I30" s="50"/>
      <c r="J30" s="50"/>
    </row>
    <row r="31" spans="1:10" x14ac:dyDescent="0.3">
      <c r="A31" s="50"/>
      <c r="B31" s="101" t="s">
        <v>39</v>
      </c>
      <c r="C31" s="99">
        <f>'Reliquidación 7TRAN'!O32</f>
        <v>133917980.81213562</v>
      </c>
      <c r="D31" s="98"/>
      <c r="E31" s="42" t="s">
        <v>50</v>
      </c>
      <c r="F31" s="99">
        <v>0</v>
      </c>
      <c r="G31" s="99">
        <f t="shared" si="0"/>
        <v>-20291.941752460851</v>
      </c>
      <c r="H31" s="100"/>
      <c r="I31" s="50"/>
      <c r="J31" s="50"/>
    </row>
    <row r="32" spans="1:10" x14ac:dyDescent="0.3">
      <c r="A32" s="50"/>
      <c r="B32" s="101" t="s">
        <v>40</v>
      </c>
      <c r="C32" s="99">
        <f>'Reliquidación 7TRAN'!O33</f>
        <v>-3203931.3258642382</v>
      </c>
      <c r="D32" s="98"/>
      <c r="E32" s="102" t="s">
        <v>51</v>
      </c>
      <c r="F32" s="99">
        <v>0</v>
      </c>
      <c r="G32" s="99">
        <f t="shared" si="0"/>
        <v>3023144.4087765282</v>
      </c>
      <c r="H32" s="98"/>
      <c r="I32" s="50"/>
      <c r="J32" s="50"/>
    </row>
    <row r="33" spans="1:15" x14ac:dyDescent="0.3">
      <c r="A33" s="50"/>
      <c r="B33" s="101" t="s">
        <v>41</v>
      </c>
      <c r="C33" s="99">
        <f>'Reliquidación 7TRAN'!O34</f>
        <v>-10648595.111345841</v>
      </c>
      <c r="D33" s="98"/>
      <c r="E33" s="103" t="s">
        <v>66</v>
      </c>
      <c r="F33" s="104">
        <f>SUM(F7:F32)</f>
        <v>0</v>
      </c>
      <c r="G33" s="104">
        <f>SUM(G8:G32)</f>
        <v>-9.3132257461547852E-9</v>
      </c>
      <c r="H33" s="105"/>
      <c r="I33" s="50"/>
      <c r="J33" s="50"/>
    </row>
    <row r="34" spans="1:15" x14ac:dyDescent="0.3">
      <c r="B34" s="101" t="s">
        <v>42</v>
      </c>
      <c r="C34" s="99">
        <f>'Reliquidación 7TRAN'!O35</f>
        <v>-7107770.7209943663</v>
      </c>
      <c r="D34" s="98"/>
      <c r="E34" s="98"/>
      <c r="F34" s="106"/>
      <c r="G34" s="107"/>
      <c r="H34" s="105"/>
      <c r="I34" s="50"/>
      <c r="J34" s="50"/>
    </row>
    <row r="35" spans="1:15" x14ac:dyDescent="0.3">
      <c r="A35" s="50"/>
      <c r="B35" s="101" t="s">
        <v>43</v>
      </c>
      <c r="C35" s="99">
        <f>'Reliquidación 7TRAN'!O36</f>
        <v>-5709570.7939854143</v>
      </c>
      <c r="D35" s="98"/>
      <c r="E35" s="98"/>
      <c r="F35" s="67"/>
      <c r="G35" s="107"/>
      <c r="H35" s="105"/>
      <c r="I35" s="50"/>
      <c r="J35" s="50"/>
    </row>
    <row r="36" spans="1:15" x14ac:dyDescent="0.3">
      <c r="A36" s="50"/>
      <c r="B36" s="101" t="s">
        <v>45</v>
      </c>
      <c r="C36" s="99">
        <f>'Reliquidación 7TRAN'!O37</f>
        <v>-1282147.7083647188</v>
      </c>
      <c r="D36" s="98"/>
      <c r="E36" s="98"/>
      <c r="F36" s="106"/>
      <c r="G36" s="107"/>
      <c r="H36" s="105"/>
      <c r="I36" s="50"/>
      <c r="J36" s="50"/>
    </row>
    <row r="37" spans="1:15" x14ac:dyDescent="0.3">
      <c r="B37" s="101" t="s">
        <v>46</v>
      </c>
      <c r="C37" s="99">
        <f>'Reliquidación 7TRAN'!O38</f>
        <v>-20527236.129267652</v>
      </c>
      <c r="D37" s="98"/>
      <c r="E37" s="98"/>
      <c r="F37" s="106"/>
      <c r="G37" s="107"/>
      <c r="H37" s="105"/>
      <c r="I37" s="50"/>
      <c r="J37" s="50"/>
    </row>
    <row r="38" spans="1:15" x14ac:dyDescent="0.3">
      <c r="B38" s="101" t="s">
        <v>47</v>
      </c>
      <c r="C38" s="99">
        <f>'Reliquidación 7TRAN'!O39</f>
        <v>-29597185.854407758</v>
      </c>
      <c r="D38" s="98"/>
      <c r="E38" s="98"/>
      <c r="F38" s="106"/>
      <c r="G38" s="107"/>
      <c r="H38" s="105"/>
      <c r="I38" s="50"/>
      <c r="J38" s="50"/>
    </row>
    <row r="39" spans="1:15" x14ac:dyDescent="0.3">
      <c r="B39" s="101" t="s">
        <v>48</v>
      </c>
      <c r="C39" s="99">
        <f>'Reliquidación 7TRAN'!O40</f>
        <v>119538754.688622</v>
      </c>
      <c r="D39" s="98"/>
      <c r="E39" s="98"/>
      <c r="F39" s="106"/>
      <c r="G39" s="107"/>
      <c r="H39" s="105"/>
      <c r="I39" s="50"/>
      <c r="J39" s="50"/>
    </row>
    <row r="40" spans="1:15" x14ac:dyDescent="0.3">
      <c r="B40" s="101" t="s">
        <v>49</v>
      </c>
      <c r="C40" s="99">
        <f>'Reliquidación 7TRAN'!O41</f>
        <v>0</v>
      </c>
      <c r="D40" s="98"/>
      <c r="E40" s="98"/>
      <c r="F40" s="106"/>
      <c r="G40" s="107"/>
      <c r="H40" s="105"/>
      <c r="I40" s="50"/>
      <c r="J40" s="50"/>
    </row>
    <row r="41" spans="1:15" x14ac:dyDescent="0.3">
      <c r="B41" s="42" t="s">
        <v>50</v>
      </c>
      <c r="C41" s="99">
        <f>'Reliquidación 7TRAN'!O42</f>
        <v>-20291.941752460851</v>
      </c>
      <c r="D41" s="98"/>
      <c r="E41" s="98"/>
      <c r="F41" s="106"/>
      <c r="G41" s="107"/>
      <c r="H41" s="105"/>
      <c r="I41" s="50"/>
      <c r="J41" s="50"/>
    </row>
    <row r="42" spans="1:15" x14ac:dyDescent="0.3">
      <c r="B42" s="102" t="s">
        <v>51</v>
      </c>
      <c r="C42" s="108">
        <f>'Reliquidación 7TRAN'!O43</f>
        <v>3023144.4087765282</v>
      </c>
      <c r="D42" s="98"/>
      <c r="E42" s="98"/>
      <c r="F42" s="106"/>
      <c r="G42" s="107"/>
      <c r="H42" s="105"/>
      <c r="I42" s="50"/>
      <c r="J42" s="50"/>
    </row>
    <row r="43" spans="1:15" x14ac:dyDescent="0.3">
      <c r="B43" s="103" t="s">
        <v>66</v>
      </c>
      <c r="C43" s="104">
        <f>SUM(C8:C42)</f>
        <v>6.891787052154541E-8</v>
      </c>
      <c r="D43" s="109"/>
      <c r="E43" s="109"/>
      <c r="F43" s="50"/>
      <c r="H43" s="105"/>
      <c r="I43" s="50"/>
      <c r="J43" s="50"/>
    </row>
    <row r="44" spans="1:15" x14ac:dyDescent="0.3">
      <c r="B44" s="106"/>
      <c r="C44" s="110"/>
      <c r="F44" s="50"/>
      <c r="H44" s="50"/>
      <c r="I44" s="50"/>
    </row>
    <row r="45" spans="1:15" x14ac:dyDescent="0.3">
      <c r="B45" s="106"/>
      <c r="C45" s="110"/>
      <c r="D45" s="110"/>
      <c r="E45" s="110"/>
      <c r="H45" s="50"/>
    </row>
    <row r="46" spans="1:15" x14ac:dyDescent="0.3">
      <c r="B46" s="50"/>
      <c r="C46" s="50"/>
      <c r="D46" s="50"/>
      <c r="E46" s="50"/>
      <c r="F46" s="107"/>
      <c r="G46" s="50"/>
      <c r="H46" s="50"/>
      <c r="I46" s="50"/>
      <c r="J46" s="50"/>
    </row>
    <row r="47" spans="1:15" x14ac:dyDescent="0.3">
      <c r="B47" s="111" t="s">
        <v>84</v>
      </c>
      <c r="C47" s="50"/>
      <c r="D47" s="50"/>
      <c r="E47" s="50"/>
      <c r="F47" s="50"/>
      <c r="G47" s="50"/>
      <c r="H47" s="50"/>
      <c r="I47" s="50"/>
      <c r="J47" s="50"/>
      <c r="L47" s="50"/>
      <c r="M47" s="50"/>
      <c r="N47" s="50"/>
      <c r="O47" s="50"/>
    </row>
    <row r="48" spans="1:15" x14ac:dyDescent="0.3">
      <c r="B48" s="50"/>
      <c r="C48" s="50"/>
      <c r="D48" s="50"/>
      <c r="E48" s="50"/>
      <c r="F48" s="107"/>
      <c r="G48" s="50"/>
      <c r="H48" s="50"/>
      <c r="I48" s="50"/>
      <c r="J48" s="50"/>
      <c r="K48" s="50"/>
    </row>
    <row r="49" spans="2:6" x14ac:dyDescent="0.3">
      <c r="B49" s="112" t="s">
        <v>85</v>
      </c>
      <c r="C49" s="113" t="s">
        <v>86</v>
      </c>
      <c r="D49" s="114"/>
      <c r="E49" s="124"/>
      <c r="F49" s="125" t="s">
        <v>52</v>
      </c>
    </row>
    <row r="50" spans="2:6" x14ac:dyDescent="0.3">
      <c r="B50" s="117"/>
      <c r="C50" s="48" t="s">
        <v>82</v>
      </c>
      <c r="D50" s="49" t="s">
        <v>39</v>
      </c>
      <c r="E50" s="126" t="s">
        <v>51</v>
      </c>
      <c r="F50" s="127"/>
    </row>
    <row r="51" spans="2:6" ht="12" customHeight="1" x14ac:dyDescent="0.3">
      <c r="B51" s="78" t="s">
        <v>14</v>
      </c>
      <c r="C51" s="119" cm="1">
        <f t="array" ref="C51">(VLOOKUP($B51,$E$8:$G$32,3,0)*(-(VLOOKUP(C$50,$E$8:$G$32,3,0))))/SUMPRODUCT(($G$8:$G$32&gt;0)*($G$8:$G$32))</f>
        <v>4666719.6883787457</v>
      </c>
      <c r="D51" s="119" cm="1">
        <f t="array" ref="D51">(VLOOKUP($B51,$E$8:$G$32,3,0)*(-(VLOOKUP(D$50,$E$8:$G$32,3,0))))/SUMPRODUCT(($G$8:$G$32&gt;0)*($G$8:$G$32))</f>
        <v>742629.64840101241</v>
      </c>
      <c r="E51" s="119" cm="1">
        <f t="array" ref="E51">(VLOOKUP($B51,$E$8:$G$32,3,0)*(-(VLOOKUP(E$50,$E$8:$G$32,3,0))))/SUMPRODUCT(($G$8:$G$32&gt;0)*($G$8:$G$32))</f>
        <v>16764.564816017231</v>
      </c>
      <c r="F51" s="120">
        <f t="shared" ref="F51:F72" si="1">SUM(C51:E51)</f>
        <v>5426113.901595776</v>
      </c>
    </row>
    <row r="52" spans="2:6" x14ac:dyDescent="0.3">
      <c r="B52" s="81" t="s">
        <v>15</v>
      </c>
      <c r="C52" s="119" cm="1">
        <f t="array" ref="C52">(VLOOKUP($B52,$E$8:$G$32,3,0)*(-(VLOOKUP(C$50,$E$8:$G$32,3,0))))/SUMPRODUCT(($G$8:$G$32&gt;0)*($G$8:$G$32))</f>
        <v>3184727.6201409535</v>
      </c>
      <c r="D52" s="119" cm="1">
        <f t="array" ref="D52">(VLOOKUP($B52,$E$8:$G$32,3,0)*(-(VLOOKUP(D$50,$E$8:$G$32,3,0))))/SUMPRODUCT(($G$8:$G$32&gt;0)*($G$8:$G$32))</f>
        <v>506795.63177704241</v>
      </c>
      <c r="E52" s="119" cm="1">
        <f t="array" ref="E52">(VLOOKUP($B52,$E$8:$G$32,3,0)*(-(VLOOKUP(E$50,$E$8:$G$32,3,0))))/SUMPRODUCT(($G$8:$G$32&gt;0)*($G$8:$G$32))</f>
        <v>11440.707000715873</v>
      </c>
      <c r="F52" s="120">
        <f t="shared" si="1"/>
        <v>3702963.9589187116</v>
      </c>
    </row>
    <row r="53" spans="2:6" x14ac:dyDescent="0.3">
      <c r="B53" s="78" t="s">
        <v>16</v>
      </c>
      <c r="C53" s="119" cm="1">
        <f t="array" ref="C53">(VLOOKUP($B53,$E$8:$G$32,3,0)*(-(VLOOKUP(C$50,$E$8:$G$32,3,0))))/SUMPRODUCT(($G$8:$G$32&gt;0)*($G$8:$G$32))</f>
        <v>7580049.866851503</v>
      </c>
      <c r="D53" s="119" cm="1">
        <f t="array" ref="D53">(VLOOKUP($B53,$E$8:$G$32,3,0)*(-(VLOOKUP(D$50,$E$8:$G$32,3,0))))/SUMPRODUCT(($G$8:$G$32&gt;0)*($G$8:$G$32))</f>
        <v>1206236.9594428521</v>
      </c>
      <c r="E53" s="119" cm="1">
        <f t="array" ref="E53">(VLOOKUP($B53,$E$8:$G$32,3,0)*(-(VLOOKUP(E$50,$E$8:$G$32,3,0))))/SUMPRODUCT(($G$8:$G$32&gt;0)*($G$8:$G$32))</f>
        <v>27230.312893642444</v>
      </c>
      <c r="F53" s="120">
        <f t="shared" si="1"/>
        <v>8813517.1391879972</v>
      </c>
    </row>
    <row r="54" spans="2:6" x14ac:dyDescent="0.3">
      <c r="B54" s="78" t="s">
        <v>17</v>
      </c>
      <c r="C54" s="119" cm="1">
        <f t="array" ref="C54">(VLOOKUP($B54,$E$8:$G$32,3,0)*(-(VLOOKUP(C$50,$E$8:$G$32,3,0))))/SUMPRODUCT(($G$8:$G$32&gt;0)*($G$8:$G$32))</f>
        <v>1819563.4035519743</v>
      </c>
      <c r="D54" s="119" cm="1">
        <f t="array" ref="D54">(VLOOKUP($B54,$E$8:$G$32,3,0)*(-(VLOOKUP(D$50,$E$8:$G$32,3,0))))/SUMPRODUCT(($G$8:$G$32&gt;0)*($G$8:$G$32))</f>
        <v>289552.79529390176</v>
      </c>
      <c r="E54" s="119" cm="1">
        <f t="array" ref="E54">(VLOOKUP($B54,$E$8:$G$32,3,0)*(-(VLOOKUP(E$50,$E$8:$G$32,3,0))))/SUMPRODUCT(($G$8:$G$32&gt;0)*($G$8:$G$32))</f>
        <v>6536.5375794185275</v>
      </c>
      <c r="F54" s="120">
        <f t="shared" si="1"/>
        <v>2115652.7364252945</v>
      </c>
    </row>
    <row r="55" spans="2:6" x14ac:dyDescent="0.3">
      <c r="B55" s="78" t="s">
        <v>83</v>
      </c>
      <c r="C55" s="119" cm="1">
        <f t="array" ref="C55">(VLOOKUP($B55,$E$8:$G$32,3,0)*(-(VLOOKUP(C$50,$E$8:$G$32,3,0))))/SUMPRODUCT(($G$8:$G$32&gt;0)*($G$8:$G$32))</f>
        <v>580305751.06535983</v>
      </c>
      <c r="D55" s="119" cm="1">
        <f t="array" ref="D55">(VLOOKUP($B55,$E$8:$G$32,3,0)*(-(VLOOKUP(D$50,$E$8:$G$32,3,0))))/SUMPRODUCT(($G$8:$G$32&gt;0)*($G$8:$G$32))</f>
        <v>92345862.759215713</v>
      </c>
      <c r="E55" s="119" cm="1">
        <f t="array" ref="E55">(VLOOKUP($B55,$E$8:$G$32,3,0)*(-(VLOOKUP(E$50,$E$8:$G$32,3,0))))/SUMPRODUCT(($G$8:$G$32&gt;0)*($G$8:$G$32))</f>
        <v>2084670.6094367038</v>
      </c>
      <c r="F55" s="120">
        <f t="shared" si="1"/>
        <v>674736284.43401229</v>
      </c>
    </row>
    <row r="56" spans="2:6" x14ac:dyDescent="0.3">
      <c r="B56" s="78" t="s">
        <v>29</v>
      </c>
      <c r="C56" s="119" cm="1">
        <f t="array" ref="C56">(VLOOKUP($B56,$E$8:$G$32,3,0)*(-(VLOOKUP(C$50,$E$8:$G$32,3,0))))/SUMPRODUCT(($G$8:$G$32&gt;0)*($G$8:$G$32))</f>
        <v>7444950.3924381891</v>
      </c>
      <c r="D56" s="119" cm="1">
        <f t="array" ref="D56">(VLOOKUP($B56,$E$8:$G$32,3,0)*(-(VLOOKUP(D$50,$E$8:$G$32,3,0))))/SUMPRODUCT(($G$8:$G$32&gt;0)*($G$8:$G$32))</f>
        <v>1184738.159025813</v>
      </c>
      <c r="E56" s="119" cm="1">
        <f t="array" ref="E56">(VLOOKUP($B56,$E$8:$G$32,3,0)*(-(VLOOKUP(E$50,$E$8:$G$32,3,0))))/SUMPRODUCT(($G$8:$G$32&gt;0)*($G$8:$G$32))</f>
        <v>26744.986144523151</v>
      </c>
      <c r="F56" s="120">
        <f t="shared" si="1"/>
        <v>8656433.5376085266</v>
      </c>
    </row>
    <row r="57" spans="2:6" x14ac:dyDescent="0.3">
      <c r="B57" s="78" t="s">
        <v>30</v>
      </c>
      <c r="C57" s="119" cm="1">
        <f t="array" ref="C57">(VLOOKUP($B57,$E$8:$G$32,3,0)*(-(VLOOKUP(C$50,$E$8:$G$32,3,0))))/SUMPRODUCT(($G$8:$G$32&gt;0)*($G$8:$G$32))</f>
        <v>13936020.423621157</v>
      </c>
      <c r="D57" s="119" cm="1">
        <f t="array" ref="D57">(VLOOKUP($B57,$E$8:$G$32,3,0)*(-(VLOOKUP(D$50,$E$8:$G$32,3,0))))/SUMPRODUCT(($G$8:$G$32&gt;0)*($G$8:$G$32))</f>
        <v>2217682.3632830051</v>
      </c>
      <c r="E57" s="119" cm="1">
        <f t="array" ref="E57">(VLOOKUP($B57,$E$8:$G$32,3,0)*(-(VLOOKUP(E$50,$E$8:$G$32,3,0))))/SUMPRODUCT(($G$8:$G$32&gt;0)*($G$8:$G$32))</f>
        <v>50063.284977440351</v>
      </c>
      <c r="F57" s="120">
        <f t="shared" si="1"/>
        <v>16203766.071881602</v>
      </c>
    </row>
    <row r="58" spans="2:6" x14ac:dyDescent="0.3">
      <c r="B58" s="78" t="s">
        <v>31</v>
      </c>
      <c r="C58" s="119" cm="1">
        <f t="array" ref="C58">(VLOOKUP($B58,$E$8:$G$32,3,0)*(-(VLOOKUP(C$50,$E$8:$G$32,3,0))))/SUMPRODUCT(($G$8:$G$32&gt;0)*($G$8:$G$32))</f>
        <v>12863978.308831107</v>
      </c>
      <c r="D58" s="119" cm="1">
        <f t="array" ref="D58">(VLOOKUP($B58,$E$8:$G$32,3,0)*(-(VLOOKUP(D$50,$E$8:$G$32,3,0))))/SUMPRODUCT(($G$8:$G$32&gt;0)*($G$8:$G$32))</f>
        <v>2047084.9604091691</v>
      </c>
      <c r="E58" s="119" cm="1">
        <f t="array" ref="E58">(VLOOKUP($B58,$E$8:$G$32,3,0)*(-(VLOOKUP(E$50,$E$8:$G$32,3,0))))/SUMPRODUCT(($G$8:$G$32&gt;0)*($G$8:$G$32))</f>
        <v>46212.117408140366</v>
      </c>
      <c r="F58" s="120">
        <f t="shared" si="1"/>
        <v>14957275.386648415</v>
      </c>
    </row>
    <row r="59" spans="2:6" x14ac:dyDescent="0.3">
      <c r="B59" s="78" t="s">
        <v>32</v>
      </c>
      <c r="C59" s="119" cm="1">
        <f t="array" ref="C59">(VLOOKUP($B59,$E$8:$G$32,3,0)*(-(VLOOKUP(C$50,$E$8:$G$32,3,0))))/SUMPRODUCT(($G$8:$G$32&gt;0)*($G$8:$G$32))</f>
        <v>2425588.2815865777</v>
      </c>
      <c r="D59" s="119" cm="1">
        <f t="array" ref="D59">(VLOOKUP($B59,$E$8:$G$32,3,0)*(-(VLOOKUP(D$50,$E$8:$G$32,3,0))))/SUMPRODUCT(($G$8:$G$32&gt;0)*($G$8:$G$32))</f>
        <v>385991.42288446426</v>
      </c>
      <c r="E59" s="119" cm="1">
        <f t="array" ref="E59">(VLOOKUP($B59,$E$8:$G$32,3,0)*(-(VLOOKUP(E$50,$E$8:$G$32,3,0))))/SUMPRODUCT(($G$8:$G$32&gt;0)*($G$8:$G$32))</f>
        <v>8713.6007043433528</v>
      </c>
      <c r="F59" s="120">
        <f t="shared" si="1"/>
        <v>2820293.3051753854</v>
      </c>
    </row>
    <row r="60" spans="2:6" x14ac:dyDescent="0.3">
      <c r="B60" s="78" t="s">
        <v>33</v>
      </c>
      <c r="C60" s="119" cm="1">
        <f t="array" ref="C60">(VLOOKUP($B60,$E$8:$G$32,3,0)*(-(VLOOKUP(C$50,$E$8:$G$32,3,0))))/SUMPRODUCT(($G$8:$G$32&gt;0)*($G$8:$G$32))</f>
        <v>2482184.0056082159</v>
      </c>
      <c r="D60" s="119" cm="1">
        <f t="array" ref="D60">(VLOOKUP($B60,$E$8:$G$32,3,0)*(-(VLOOKUP(D$50,$E$8:$G$32,3,0))))/SUMPRODUCT(($G$8:$G$32&gt;0)*($G$8:$G$32))</f>
        <v>394997.67683536129</v>
      </c>
      <c r="E60" s="119" cm="1">
        <f t="array" ref="E60">(VLOOKUP($B60,$E$8:$G$32,3,0)*(-(VLOOKUP(E$50,$E$8:$G$32,3,0))))/SUMPRODUCT(($G$8:$G$32&gt;0)*($G$8:$G$32))</f>
        <v>8916.9132551342063</v>
      </c>
      <c r="F60" s="120">
        <f t="shared" si="1"/>
        <v>2886098.5956987115</v>
      </c>
    </row>
    <row r="61" spans="2:6" x14ac:dyDescent="0.3">
      <c r="B61" s="78" t="s">
        <v>34</v>
      </c>
      <c r="C61" s="119" cm="1">
        <f t="array" ref="C61">(VLOOKUP($B61,$E$8:$G$32,3,0)*(-(VLOOKUP(C$50,$E$8:$G$32,3,0))))/SUMPRODUCT(($G$8:$G$32&gt;0)*($G$8:$G$32))</f>
        <v>5501109.3490052009</v>
      </c>
      <c r="D61" s="119" cm="1">
        <f t="array" ref="D61">(VLOOKUP($B61,$E$8:$G$32,3,0)*(-(VLOOKUP(D$50,$E$8:$G$32,3,0))))/SUMPRODUCT(($G$8:$G$32&gt;0)*($G$8:$G$32))</f>
        <v>875408.67557153711</v>
      </c>
      <c r="E61" s="119" cm="1">
        <f t="array" ref="E61">(VLOOKUP($B61,$E$8:$G$32,3,0)*(-(VLOOKUP(E$50,$E$8:$G$32,3,0))))/SUMPRODUCT(($G$8:$G$32&gt;0)*($G$8:$G$32))</f>
        <v>19761.997805665345</v>
      </c>
      <c r="F61" s="120">
        <f t="shared" si="1"/>
        <v>6396280.0223824037</v>
      </c>
    </row>
    <row r="62" spans="2:6" x14ac:dyDescent="0.3">
      <c r="B62" s="78" t="s">
        <v>35</v>
      </c>
      <c r="C62" s="119" cm="1">
        <f t="array" ref="C62">(VLOOKUP($B62,$E$8:$G$32,3,0)*(-(VLOOKUP(C$50,$E$8:$G$32,3,0))))/SUMPRODUCT(($G$8:$G$32&gt;0)*($G$8:$G$32))</f>
        <v>53019810.683507316</v>
      </c>
      <c r="D62" s="119" cm="1">
        <f t="array" ref="D62">(VLOOKUP($B62,$E$8:$G$32,3,0)*(-(VLOOKUP(D$50,$E$8:$G$32,3,0))))/SUMPRODUCT(($G$8:$G$32&gt;0)*($G$8:$G$32))</f>
        <v>8437207.7166392095</v>
      </c>
      <c r="E62" s="119" cm="1">
        <f t="array" ref="E62">(VLOOKUP($B62,$E$8:$G$32,3,0)*(-(VLOOKUP(E$50,$E$8:$G$32,3,0))))/SUMPRODUCT(($G$8:$G$32&gt;0)*($G$8:$G$32))</f>
        <v>190466.56154430736</v>
      </c>
      <c r="F62" s="120">
        <f t="shared" si="1"/>
        <v>61647484.961690836</v>
      </c>
    </row>
    <row r="63" spans="2:6" x14ac:dyDescent="0.3">
      <c r="B63" s="78" t="s">
        <v>36</v>
      </c>
      <c r="C63" s="119" cm="1">
        <f t="array" ref="C63">(VLOOKUP($B63,$E$8:$G$32,3,0)*(-(VLOOKUP(C$50,$E$8:$G$32,3,0))))/SUMPRODUCT(($G$8:$G$32&gt;0)*($G$8:$G$32))</f>
        <v>9612174.3568829708</v>
      </c>
      <c r="D63" s="119" cm="1">
        <f t="array" ref="D63">(VLOOKUP($B63,$E$8:$G$32,3,0)*(-(VLOOKUP(D$50,$E$8:$G$32,3,0))))/SUMPRODUCT(($G$8:$G$32&gt;0)*($G$8:$G$32))</f>
        <v>1529615.2629002498</v>
      </c>
      <c r="E63" s="119" cm="1">
        <f t="array" ref="E63">(VLOOKUP($B63,$E$8:$G$32,3,0)*(-(VLOOKUP(E$50,$E$8:$G$32,3,0))))/SUMPRODUCT(($G$8:$G$32&gt;0)*($G$8:$G$32))</f>
        <v>34530.447678293262</v>
      </c>
      <c r="F63" s="120">
        <f t="shared" si="1"/>
        <v>11176320.067461515</v>
      </c>
    </row>
    <row r="64" spans="2:6" x14ac:dyDescent="0.3">
      <c r="B64" s="78" t="s">
        <v>37</v>
      </c>
      <c r="C64" s="119" cm="1">
        <f t="array" ref="C64">(VLOOKUP($B64,$E$8:$G$32,3,0)*(-(VLOOKUP(C$50,$E$8:$G$32,3,0))))/SUMPRODUCT(($G$8:$G$32&gt;0)*($G$8:$G$32))</f>
        <v>109335287.21732585</v>
      </c>
      <c r="D64" s="119" cm="1">
        <f t="array" ref="D64">(VLOOKUP($B64,$E$8:$G$32,3,0)*(-(VLOOKUP(D$50,$E$8:$G$32,3,0))))/SUMPRODUCT(($G$8:$G$32&gt;0)*($G$8:$G$32))</f>
        <v>17398865.011374697</v>
      </c>
      <c r="E64" s="119" cm="1">
        <f t="array" ref="E64">(VLOOKUP($B64,$E$8:$G$32,3,0)*(-(VLOOKUP(E$50,$E$8:$G$32,3,0))))/SUMPRODUCT(($G$8:$G$32&gt;0)*($G$8:$G$32))</f>
        <v>392772.36080779112</v>
      </c>
      <c r="F64" s="120">
        <f t="shared" si="1"/>
        <v>127126924.58950834</v>
      </c>
    </row>
    <row r="65" spans="2:11" x14ac:dyDescent="0.3">
      <c r="B65" s="78" t="s">
        <v>38</v>
      </c>
      <c r="C65" s="119" cm="1">
        <f t="array" ref="C65">(VLOOKUP($B65,$E$8:$G$32,3,0)*(-(VLOOKUP(C$50,$E$8:$G$32,3,0))))/SUMPRODUCT(($G$8:$G$32&gt;0)*($G$8:$G$32))</f>
        <v>3311450.4869834087</v>
      </c>
      <c r="D65" s="119" cm="1">
        <f t="array" ref="D65">(VLOOKUP($B65,$E$8:$G$32,3,0)*(-(VLOOKUP(D$50,$E$8:$G$32,3,0))))/SUMPRODUCT(($G$8:$G$32&gt;0)*($G$8:$G$32))</f>
        <v>526961.43652463262</v>
      </c>
      <c r="E65" s="119" cm="1">
        <f t="array" ref="E65">(VLOOKUP($B65,$E$8:$G$32,3,0)*(-(VLOOKUP(E$50,$E$8:$G$32,3,0))))/SUMPRODUCT(($G$8:$G$32&gt;0)*($G$8:$G$32))</f>
        <v>11895.941910183923</v>
      </c>
      <c r="F65" s="120">
        <f t="shared" si="1"/>
        <v>3850307.8654182255</v>
      </c>
    </row>
    <row r="66" spans="2:11" x14ac:dyDescent="0.3">
      <c r="B66" s="78" t="s">
        <v>40</v>
      </c>
      <c r="C66" s="119" cm="1">
        <f t="array" ref="C66">(VLOOKUP($B66,$E$8:$G$32,3,0)*(-(VLOOKUP(C$50,$E$8:$G$32,3,0))))/SUMPRODUCT(($G$8:$G$32&gt;0)*($G$8:$G$32))</f>
        <v>2755535.4844701742</v>
      </c>
      <c r="D66" s="119" cm="1">
        <f t="array" ref="D66">(VLOOKUP($B66,$E$8:$G$32,3,0)*(-(VLOOKUP(D$50,$E$8:$G$32,3,0))))/SUMPRODUCT(($G$8:$G$32&gt;0)*($G$8:$G$32))</f>
        <v>438496.94959919772</v>
      </c>
      <c r="E66" s="119" cm="1">
        <f t="array" ref="E66">(VLOOKUP($B66,$E$8:$G$32,3,0)*(-(VLOOKUP(E$50,$E$8:$G$32,3,0))))/SUMPRODUCT(($G$8:$G$32&gt;0)*($G$8:$G$32))</f>
        <v>9898.8917948667913</v>
      </c>
      <c r="F66" s="120">
        <f t="shared" si="1"/>
        <v>3203931.3258642387</v>
      </c>
    </row>
    <row r="67" spans="2:11" x14ac:dyDescent="0.3">
      <c r="B67" s="78" t="s">
        <v>41</v>
      </c>
      <c r="C67" s="119" cm="1">
        <f t="array" ref="C67">(VLOOKUP($B67,$E$8:$G$32,3,0)*(-(VLOOKUP(C$50,$E$8:$G$32,3,0))))/SUMPRODUCT(($G$8:$G$32&gt;0)*($G$8:$G$32))</f>
        <v>9158305.4393820781</v>
      </c>
      <c r="D67" s="119" cm="1">
        <f t="array" ref="D67">(VLOOKUP($B67,$E$8:$G$32,3,0)*(-(VLOOKUP(D$50,$E$8:$G$32,3,0))))/SUMPRODUCT(($G$8:$G$32&gt;0)*($G$8:$G$32))</f>
        <v>1457389.6875216414</v>
      </c>
      <c r="E67" s="119" cm="1">
        <f t="array" ref="E67">(VLOOKUP($B67,$E$8:$G$32,3,0)*(-(VLOOKUP(E$50,$E$8:$G$32,3,0))))/SUMPRODUCT(($G$8:$G$32&gt;0)*($G$8:$G$32))</f>
        <v>32899.984442121757</v>
      </c>
      <c r="F67" s="120">
        <f t="shared" si="1"/>
        <v>10648595.111345842</v>
      </c>
    </row>
    <row r="68" spans="2:11" x14ac:dyDescent="0.3">
      <c r="B68" s="78" t="s">
        <v>42</v>
      </c>
      <c r="C68" s="119" cm="1">
        <f t="array" ref="C68">(VLOOKUP($B68,$E$8:$G$32,3,0)*(-(VLOOKUP(C$50,$E$8:$G$32,3,0))))/SUMPRODUCT(($G$8:$G$32&gt;0)*($G$8:$G$32))</f>
        <v>6113025.6691425862</v>
      </c>
      <c r="D68" s="119" cm="1">
        <f t="array" ref="D68">(VLOOKUP($B68,$E$8:$G$32,3,0)*(-(VLOOKUP(D$50,$E$8:$G$32,3,0))))/SUMPRODUCT(($G$8:$G$32&gt;0)*($G$8:$G$32))</f>
        <v>972784.82670529827</v>
      </c>
      <c r="E68" s="119" cm="1">
        <f t="array" ref="E68">(VLOOKUP($B68,$E$8:$G$32,3,0)*(-(VLOOKUP(E$50,$E$8:$G$32,3,0))))/SUMPRODUCT(($G$8:$G$32&gt;0)*($G$8:$G$32))</f>
        <v>21960.225146482091</v>
      </c>
      <c r="F68" s="120">
        <f t="shared" si="1"/>
        <v>7107770.7209943663</v>
      </c>
    </row>
    <row r="69" spans="2:11" x14ac:dyDescent="0.3">
      <c r="B69" s="78" t="s">
        <v>43</v>
      </c>
      <c r="C69" s="119" cm="1">
        <f t="array" ref="C69">(VLOOKUP($B69,$E$8:$G$32,3,0)*(-(VLOOKUP(C$50,$E$8:$G$32,3,0))))/SUMPRODUCT(($G$8:$G$32&gt;0)*($G$8:$G$32))</f>
        <v>4910506.2886070162</v>
      </c>
      <c r="D69" s="119" cm="1">
        <f t="array" ref="D69">(VLOOKUP($B69,$E$8:$G$32,3,0)*(-(VLOOKUP(D$50,$E$8:$G$32,3,0))))/SUMPRODUCT(($G$8:$G$32&gt;0)*($G$8:$G$32))</f>
        <v>781424.1698853944</v>
      </c>
      <c r="E69" s="119" cm="1">
        <f t="array" ref="E69">(VLOOKUP($B69,$E$8:$G$32,3,0)*(-(VLOOKUP(E$50,$E$8:$G$32,3,0))))/SUMPRODUCT(($G$8:$G$32&gt;0)*($G$8:$G$32))</f>
        <v>17640.335493004935</v>
      </c>
      <c r="F69" s="120">
        <f t="shared" si="1"/>
        <v>5709570.7939854153</v>
      </c>
    </row>
    <row r="70" spans="2:11" x14ac:dyDescent="0.3">
      <c r="B70" s="78" t="s">
        <v>45</v>
      </c>
      <c r="C70" s="119" cm="1">
        <f t="array" ref="C70">(VLOOKUP($B70,$E$8:$G$32,3,0)*(-(VLOOKUP(C$50,$E$8:$G$32,3,0))))/SUMPRODUCT(($G$8:$G$32&gt;0)*($G$8:$G$32))</f>
        <v>1102708.8746286081</v>
      </c>
      <c r="D70" s="119" cm="1">
        <f t="array" ref="D70">(VLOOKUP($B70,$E$8:$G$32,3,0)*(-(VLOOKUP(D$50,$E$8:$G$32,3,0))))/SUMPRODUCT(($G$8:$G$32&gt;0)*($G$8:$G$32))</f>
        <v>175477.4999435659</v>
      </c>
      <c r="E70" s="119" cm="1">
        <f t="array" ref="E70">(VLOOKUP($B70,$E$8:$G$32,3,0)*(-(VLOOKUP(E$50,$E$8:$G$32,3,0))))/SUMPRODUCT(($G$8:$G$32&gt;0)*($G$8:$G$32))</f>
        <v>3961.3337925447695</v>
      </c>
      <c r="F70" s="120">
        <f t="shared" si="1"/>
        <v>1282147.7083647186</v>
      </c>
    </row>
    <row r="71" spans="2:11" x14ac:dyDescent="0.3">
      <c r="B71" s="78" t="s">
        <v>50</v>
      </c>
      <c r="C71" s="119" cm="1">
        <f t="array" ref="C71">(VLOOKUP($B71,$E$8:$G$32,3,0)*(-(VLOOKUP(C$50,$E$8:$G$32,3,0))))/SUMPRODUCT(($G$8:$G$32&gt;0)*($G$8:$G$32))</f>
        <v>17452.048705390098</v>
      </c>
      <c r="D71" s="119" cm="1">
        <f t="array" ref="D71">(VLOOKUP($B71,$E$8:$G$32,3,0)*(-(VLOOKUP(D$50,$E$8:$G$32,3,0))))/SUMPRODUCT(($G$8:$G$32&gt;0)*($G$8:$G$32))</f>
        <v>2777.1989018829918</v>
      </c>
      <c r="E71" s="119" cm="1">
        <f t="array" ref="E71">(VLOOKUP($B71,$E$8:$G$32,3,0)*(-(VLOOKUP(E$50,$E$8:$G$32,3,0))))/SUMPRODUCT(($G$8:$G$32&gt;0)*($G$8:$G$32))</f>
        <v>62.694145187761436</v>
      </c>
      <c r="F71" s="120">
        <f t="shared" si="1"/>
        <v>20291.941752460851</v>
      </c>
    </row>
    <row r="72" spans="2:11" x14ac:dyDescent="0.3">
      <c r="B72" s="78" t="s">
        <v>49</v>
      </c>
      <c r="C72" s="119" cm="1">
        <f t="array" ref="C72">(VLOOKUP($B72,$E$8:$G$32,3,0)*(-(VLOOKUP(C$50,$E$8:$G$32,3,0))))/SUMPRODUCT(($G$8:$G$32&gt;0)*($G$8:$G$32))</f>
        <v>0</v>
      </c>
      <c r="D72" s="119" cm="1">
        <f t="array" ref="D72">(VLOOKUP($B72,$E$8:$G$32,3,0)*(-(VLOOKUP(D$50,$E$8:$G$32,3,0))))/SUMPRODUCT(($G$8:$G$32&gt;0)*($G$8:$G$32))</f>
        <v>0</v>
      </c>
      <c r="E72" s="119" cm="1">
        <f t="array" ref="E72">(VLOOKUP($B72,$E$8:$G$32,3,0)*(-(VLOOKUP(E$50,$E$8:$G$32,3,0))))/SUMPRODUCT(($G$8:$G$32&gt;0)*($G$8:$G$32))</f>
        <v>0</v>
      </c>
      <c r="F72" s="120">
        <f t="shared" si="1"/>
        <v>0</v>
      </c>
    </row>
    <row r="73" spans="2:11" x14ac:dyDescent="0.3">
      <c r="B73" s="121" t="s">
        <v>52</v>
      </c>
      <c r="C73" s="122">
        <f>SUM(C51:C72)</f>
        <v>841546898.95500875</v>
      </c>
      <c r="D73" s="122">
        <f>SUM(D51:D72)</f>
        <v>133917980.81213561</v>
      </c>
      <c r="E73" s="122">
        <f>SUM(E51:E72)</f>
        <v>3023144.4087765291</v>
      </c>
      <c r="F73" s="82">
        <f>SUM(F51:F72)</f>
        <v>978488024.17592084</v>
      </c>
    </row>
    <row r="74" spans="2:11" x14ac:dyDescent="0.3">
      <c r="B74" s="50"/>
      <c r="C74" s="107"/>
      <c r="D74" s="107"/>
      <c r="E74" s="107"/>
      <c r="F74" s="107"/>
      <c r="G74" s="107"/>
      <c r="H74" s="107"/>
      <c r="I74" s="107"/>
      <c r="J74" s="107"/>
      <c r="K74" s="17"/>
    </row>
    <row r="75" spans="2:11" x14ac:dyDescent="0.3">
      <c r="B75" s="111"/>
      <c r="C75" s="123"/>
      <c r="D75" s="123"/>
      <c r="E75" s="123"/>
      <c r="F75" s="84">
        <f>-SUMPRODUCT(($G$8:$G$32&lt;0)*($G$8:$G$32))</f>
        <v>978488024.17592072</v>
      </c>
      <c r="H75" s="50"/>
      <c r="I75" s="50"/>
      <c r="J75" s="50"/>
    </row>
    <row r="76" spans="2:11" x14ac:dyDescent="0.3">
      <c r="B76" s="50"/>
      <c r="C76" s="50"/>
      <c r="D76" s="50"/>
      <c r="E76" s="50"/>
      <c r="F76" s="85">
        <f>F73-F75</f>
        <v>0</v>
      </c>
      <c r="H76" s="50"/>
      <c r="I76" s="50"/>
      <c r="J76" s="50"/>
    </row>
    <row r="77" spans="2:11" x14ac:dyDescent="0.3">
      <c r="B77" s="50"/>
      <c r="C77" s="50"/>
      <c r="D77" s="50"/>
      <c r="E77" s="50"/>
      <c r="F77" s="85">
        <f>F73-J6</f>
        <v>0</v>
      </c>
      <c r="H77" s="50"/>
      <c r="I77" s="50"/>
      <c r="J77" s="50"/>
    </row>
    <row r="91" spans="4:7" x14ac:dyDescent="0.3">
      <c r="D91" s="50"/>
      <c r="E91" s="50"/>
      <c r="F91" s="50"/>
      <c r="G91" s="50"/>
    </row>
  </sheetData>
  <mergeCells count="9">
    <mergeCell ref="J6:J7"/>
    <mergeCell ref="B49:B50"/>
    <mergeCell ref="C49:E49"/>
    <mergeCell ref="B6:B7"/>
    <mergeCell ref="C6:C7"/>
    <mergeCell ref="E6:E7"/>
    <mergeCell ref="F6:F7"/>
    <mergeCell ref="G6:G7"/>
    <mergeCell ref="I6:I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83E90-BB46-430D-A223-87E475774FF4}">
  <sheetPr codeName="Hoja5">
    <tabColor theme="0"/>
  </sheetPr>
  <dimension ref="B2:N45"/>
  <sheetViews>
    <sheetView showGridLines="0" zoomScale="85" zoomScaleNormal="85" workbookViewId="0">
      <selection activeCell="N12" sqref="N12"/>
    </sheetView>
  </sheetViews>
  <sheetFormatPr baseColWidth="10" defaultRowHeight="13" x14ac:dyDescent="0.3"/>
  <cols>
    <col min="2" max="2" width="3.3984375" customWidth="1"/>
    <col min="3" max="3" width="16.296875" bestFit="1" customWidth="1"/>
    <col min="4" max="4" width="52.296875" customWidth="1"/>
    <col min="5" max="5" width="16.59765625" customWidth="1"/>
    <col min="6" max="7" width="13.09765625" customWidth="1"/>
    <col min="8" max="8" width="14.59765625" customWidth="1"/>
    <col min="9" max="9" width="11.3984375" customWidth="1"/>
    <col min="10" max="10" width="14" customWidth="1"/>
  </cols>
  <sheetData>
    <row r="2" spans="2:14" x14ac:dyDescent="0.3">
      <c r="B2" s="1" t="s">
        <v>0</v>
      </c>
      <c r="D2" s="1"/>
      <c r="E2" s="2" t="s">
        <v>1</v>
      </c>
      <c r="F2" s="2"/>
      <c r="G2" s="3" t="s">
        <v>2</v>
      </c>
    </row>
    <row r="3" spans="2:14" x14ac:dyDescent="0.3">
      <c r="B3" s="4">
        <v>45839</v>
      </c>
      <c r="C3" s="4"/>
      <c r="D3" s="5"/>
    </row>
    <row r="4" spans="2:14" x14ac:dyDescent="0.3">
      <c r="B4" s="1"/>
    </row>
    <row r="6" spans="2:14" x14ac:dyDescent="0.3">
      <c r="B6" s="6" t="s">
        <v>3</v>
      </c>
      <c r="C6" s="6" t="s">
        <v>4</v>
      </c>
      <c r="D6" s="6" t="s">
        <v>5</v>
      </c>
      <c r="E6" s="6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53</v>
      </c>
    </row>
    <row r="7" spans="2:14" x14ac:dyDescent="0.3">
      <c r="B7" s="6"/>
      <c r="C7" s="6"/>
      <c r="D7" s="6"/>
      <c r="E7" s="6"/>
      <c r="F7" s="7" t="s">
        <v>12</v>
      </c>
      <c r="G7" s="7" t="s">
        <v>12</v>
      </c>
      <c r="H7" s="7" t="s">
        <v>12</v>
      </c>
      <c r="I7" s="7" t="s">
        <v>12</v>
      </c>
      <c r="J7" s="7" t="s">
        <v>13</v>
      </c>
      <c r="M7" s="17"/>
      <c r="N7" s="17"/>
    </row>
    <row r="8" spans="2:14" x14ac:dyDescent="0.3">
      <c r="B8" s="8">
        <v>1</v>
      </c>
      <c r="C8" s="8" t="s">
        <v>14</v>
      </c>
      <c r="D8" s="9" t="s">
        <v>97</v>
      </c>
      <c r="E8" s="8" t="s">
        <v>14</v>
      </c>
      <c r="F8" s="10">
        <v>1585091</v>
      </c>
      <c r="G8" s="10">
        <v>3507003</v>
      </c>
      <c r="H8" s="10">
        <v>126789</v>
      </c>
      <c r="I8" s="10">
        <v>18748</v>
      </c>
      <c r="J8" s="10">
        <v>0</v>
      </c>
      <c r="K8" s="11"/>
      <c r="L8" s="12"/>
      <c r="M8" s="12"/>
    </row>
    <row r="9" spans="2:14" x14ac:dyDescent="0.3">
      <c r="B9" s="8">
        <v>2</v>
      </c>
      <c r="C9" s="8" t="s">
        <v>15</v>
      </c>
      <c r="D9" s="9" t="s">
        <v>97</v>
      </c>
      <c r="E9" s="8" t="s">
        <v>15</v>
      </c>
      <c r="F9" s="10">
        <v>797826</v>
      </c>
      <c r="G9" s="10">
        <v>3181304</v>
      </c>
      <c r="H9" s="10">
        <v>331</v>
      </c>
      <c r="I9" s="10">
        <v>22611</v>
      </c>
      <c r="J9" s="10">
        <v>0</v>
      </c>
      <c r="K9" s="11"/>
      <c r="L9" s="12"/>
      <c r="M9" s="12"/>
    </row>
    <row r="10" spans="2:14" x14ac:dyDescent="0.3">
      <c r="B10" s="8">
        <v>3</v>
      </c>
      <c r="C10" s="8" t="s">
        <v>16</v>
      </c>
      <c r="D10" s="9" t="s">
        <v>97</v>
      </c>
      <c r="E10" s="8" t="s">
        <v>16</v>
      </c>
      <c r="F10" s="10">
        <v>1450135.2</v>
      </c>
      <c r="G10" s="10">
        <v>7146435.966</v>
      </c>
      <c r="H10" s="10">
        <v>0</v>
      </c>
      <c r="I10" s="10">
        <v>30134.800999999999</v>
      </c>
      <c r="J10" s="10">
        <v>0</v>
      </c>
      <c r="K10" s="11"/>
      <c r="L10" s="12"/>
      <c r="M10" s="12"/>
    </row>
    <row r="11" spans="2:14" x14ac:dyDescent="0.3">
      <c r="B11" s="8">
        <v>4</v>
      </c>
      <c r="C11" s="8" t="s">
        <v>17</v>
      </c>
      <c r="D11" s="9" t="s">
        <v>97</v>
      </c>
      <c r="E11" s="8" t="s">
        <v>17</v>
      </c>
      <c r="F11" s="10">
        <v>432958</v>
      </c>
      <c r="G11" s="10">
        <v>1507192</v>
      </c>
      <c r="H11" s="10">
        <v>0</v>
      </c>
      <c r="I11" s="10">
        <v>0</v>
      </c>
      <c r="J11" s="10">
        <v>0</v>
      </c>
      <c r="K11" s="11"/>
      <c r="L11" s="12"/>
      <c r="M11" s="12"/>
    </row>
    <row r="12" spans="2:14" x14ac:dyDescent="0.3">
      <c r="B12" s="8">
        <v>5</v>
      </c>
      <c r="C12" s="8" t="s">
        <v>18</v>
      </c>
      <c r="D12" s="9" t="s">
        <v>97</v>
      </c>
      <c r="E12" s="8" t="s">
        <v>18</v>
      </c>
      <c r="F12" s="10">
        <v>140039720.21649611</v>
      </c>
      <c r="G12" s="10">
        <v>529892016.51421052</v>
      </c>
      <c r="H12" s="10">
        <v>4485187.2450000001</v>
      </c>
      <c r="I12" s="10">
        <v>656771.76399999997</v>
      </c>
      <c r="J12" s="10">
        <v>-4699774.576857416</v>
      </c>
      <c r="K12" s="11"/>
      <c r="L12" s="12"/>
      <c r="M12" s="12"/>
    </row>
    <row r="13" spans="2:14" x14ac:dyDescent="0.3">
      <c r="B13" s="8">
        <v>6</v>
      </c>
      <c r="C13" s="8" t="s">
        <v>19</v>
      </c>
      <c r="D13" s="9" t="s">
        <v>97</v>
      </c>
      <c r="E13" s="8" t="s">
        <v>20</v>
      </c>
      <c r="F13" s="10">
        <v>276412.52100000001</v>
      </c>
      <c r="G13" s="10">
        <v>919955.61899999995</v>
      </c>
      <c r="H13" s="10">
        <v>0</v>
      </c>
      <c r="I13" s="10">
        <v>0</v>
      </c>
      <c r="J13" s="10">
        <v>0</v>
      </c>
      <c r="K13" s="11"/>
      <c r="L13" s="12"/>
      <c r="M13" s="12"/>
    </row>
    <row r="14" spans="2:14" x14ac:dyDescent="0.3">
      <c r="B14" s="8">
        <v>7</v>
      </c>
      <c r="C14" s="8" t="s">
        <v>21</v>
      </c>
      <c r="D14" s="9" t="s">
        <v>97</v>
      </c>
      <c r="E14" s="8" t="s">
        <v>21</v>
      </c>
      <c r="F14" s="10">
        <v>10988646.189813221</v>
      </c>
      <c r="G14" s="10">
        <v>20872323.987</v>
      </c>
      <c r="H14" s="10">
        <v>432597.261</v>
      </c>
      <c r="I14" s="10">
        <v>33995.805</v>
      </c>
      <c r="J14" s="10">
        <v>17726.388161247462</v>
      </c>
      <c r="K14" s="11"/>
      <c r="L14" s="12"/>
      <c r="M14" s="12"/>
    </row>
    <row r="15" spans="2:14" x14ac:dyDescent="0.3">
      <c r="B15" s="8">
        <v>8</v>
      </c>
      <c r="C15" s="8" t="s">
        <v>22</v>
      </c>
      <c r="D15" s="9" t="s">
        <v>97</v>
      </c>
      <c r="E15" s="8" t="s">
        <v>22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1"/>
      <c r="L15" s="12"/>
      <c r="M15" s="12"/>
    </row>
    <row r="16" spans="2:14" x14ac:dyDescent="0.3">
      <c r="B16" s="8">
        <v>9</v>
      </c>
      <c r="C16" s="8" t="s">
        <v>23</v>
      </c>
      <c r="D16" s="9" t="s">
        <v>97</v>
      </c>
      <c r="E16" s="8" t="s">
        <v>23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1"/>
      <c r="L16" s="12"/>
      <c r="M16" s="12"/>
    </row>
    <row r="17" spans="2:13" x14ac:dyDescent="0.3">
      <c r="B17" s="8">
        <v>10</v>
      </c>
      <c r="C17" s="8" t="s">
        <v>24</v>
      </c>
      <c r="D17" s="9" t="s">
        <v>97</v>
      </c>
      <c r="E17" s="8" t="s">
        <v>24</v>
      </c>
      <c r="F17" s="10">
        <v>102519781.286</v>
      </c>
      <c r="G17" s="10">
        <v>615678842.171</v>
      </c>
      <c r="H17" s="10">
        <v>422173.5</v>
      </c>
      <c r="I17" s="10">
        <v>944694.95</v>
      </c>
      <c r="J17" s="10">
        <v>470065.51200796629</v>
      </c>
      <c r="K17" s="11"/>
      <c r="L17" s="12"/>
      <c r="M17" s="12"/>
    </row>
    <row r="18" spans="2:13" x14ac:dyDescent="0.3">
      <c r="B18" s="8">
        <v>11</v>
      </c>
      <c r="C18" s="8" t="s">
        <v>25</v>
      </c>
      <c r="D18" s="9" t="s">
        <v>97</v>
      </c>
      <c r="E18" s="8" t="s">
        <v>25</v>
      </c>
      <c r="F18" s="10">
        <v>49042</v>
      </c>
      <c r="G18" s="10">
        <v>494284.79999999999</v>
      </c>
      <c r="H18" s="10">
        <v>0</v>
      </c>
      <c r="I18" s="10">
        <v>82</v>
      </c>
      <c r="J18" s="10">
        <v>0</v>
      </c>
      <c r="K18" s="11"/>
      <c r="L18" s="12"/>
      <c r="M18" s="12"/>
    </row>
    <row r="19" spans="2:13" x14ac:dyDescent="0.3">
      <c r="B19" s="8">
        <v>12</v>
      </c>
      <c r="C19" s="8" t="s">
        <v>26</v>
      </c>
      <c r="D19" s="9" t="s">
        <v>97</v>
      </c>
      <c r="E19" s="8" t="s">
        <v>26</v>
      </c>
      <c r="F19" s="10">
        <v>31118094.763999999</v>
      </c>
      <c r="G19" s="10">
        <v>75983954.803727269</v>
      </c>
      <c r="H19" s="10">
        <v>1218497.138</v>
      </c>
      <c r="I19" s="10">
        <v>136265.35399999999</v>
      </c>
      <c r="J19" s="10">
        <v>228982.78994067799</v>
      </c>
      <c r="K19" s="11"/>
      <c r="L19" s="12"/>
      <c r="M19" s="12"/>
    </row>
    <row r="20" spans="2:13" x14ac:dyDescent="0.3">
      <c r="B20" s="8">
        <v>13</v>
      </c>
      <c r="C20" s="8" t="s">
        <v>27</v>
      </c>
      <c r="D20" s="9" t="s">
        <v>97</v>
      </c>
      <c r="E20" s="8" t="s">
        <v>27</v>
      </c>
      <c r="F20" s="10">
        <v>3566656.8309999998</v>
      </c>
      <c r="G20" s="10">
        <v>21200534.309999999</v>
      </c>
      <c r="H20" s="10">
        <v>0</v>
      </c>
      <c r="I20" s="10">
        <v>14009.406000000001</v>
      </c>
      <c r="J20" s="10">
        <v>186270.54573123949</v>
      </c>
      <c r="K20" s="11"/>
      <c r="L20" s="12"/>
      <c r="M20" s="12"/>
    </row>
    <row r="21" spans="2:13" x14ac:dyDescent="0.3">
      <c r="B21" s="8">
        <v>14</v>
      </c>
      <c r="C21" s="8" t="s">
        <v>28</v>
      </c>
      <c r="D21" s="9" t="s">
        <v>97</v>
      </c>
      <c r="E21" s="8" t="s">
        <v>28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1"/>
      <c r="L21" s="12"/>
      <c r="M21" s="12"/>
    </row>
    <row r="22" spans="2:13" x14ac:dyDescent="0.3">
      <c r="B22" s="8">
        <v>15</v>
      </c>
      <c r="C22" s="8" t="s">
        <v>29</v>
      </c>
      <c r="D22" s="9" t="s">
        <v>97</v>
      </c>
      <c r="E22" s="8" t="s">
        <v>29</v>
      </c>
      <c r="F22" s="10">
        <v>1523795</v>
      </c>
      <c r="G22" s="10">
        <v>8934806</v>
      </c>
      <c r="H22" s="10">
        <v>9577</v>
      </c>
      <c r="I22" s="10">
        <v>6894</v>
      </c>
      <c r="J22" s="10">
        <v>0</v>
      </c>
      <c r="K22" s="11"/>
      <c r="L22" s="12"/>
      <c r="M22" s="12"/>
    </row>
    <row r="23" spans="2:13" x14ac:dyDescent="0.3">
      <c r="B23" s="8">
        <v>16</v>
      </c>
      <c r="C23" s="8" t="s">
        <v>30</v>
      </c>
      <c r="D23" s="9" t="s">
        <v>97</v>
      </c>
      <c r="E23" s="8" t="s">
        <v>30</v>
      </c>
      <c r="F23" s="10">
        <v>4014606</v>
      </c>
      <c r="G23" s="10">
        <v>13469914</v>
      </c>
      <c r="H23" s="10">
        <v>422455</v>
      </c>
      <c r="I23" s="10">
        <v>77115</v>
      </c>
      <c r="J23" s="10">
        <v>0</v>
      </c>
      <c r="K23" s="11"/>
      <c r="L23" s="12"/>
      <c r="M23" s="12"/>
    </row>
    <row r="24" spans="2:13" x14ac:dyDescent="0.3">
      <c r="B24" s="8">
        <v>17</v>
      </c>
      <c r="C24" s="8" t="s">
        <v>31</v>
      </c>
      <c r="D24" s="9" t="s">
        <v>97</v>
      </c>
      <c r="E24" s="8" t="s">
        <v>31</v>
      </c>
      <c r="F24" s="10">
        <v>1635308</v>
      </c>
      <c r="G24" s="10">
        <v>16202203</v>
      </c>
      <c r="H24" s="10">
        <v>14</v>
      </c>
      <c r="I24" s="10">
        <v>58658</v>
      </c>
      <c r="J24" s="10">
        <v>0</v>
      </c>
      <c r="K24" s="11"/>
      <c r="L24" s="12"/>
      <c r="M24" s="12"/>
    </row>
    <row r="25" spans="2:13" x14ac:dyDescent="0.3">
      <c r="B25" s="8">
        <v>18</v>
      </c>
      <c r="C25" s="8" t="s">
        <v>32</v>
      </c>
      <c r="D25" s="9" t="s">
        <v>97</v>
      </c>
      <c r="E25" s="8" t="s">
        <v>32</v>
      </c>
      <c r="F25" s="10">
        <v>505561</v>
      </c>
      <c r="G25" s="10">
        <v>2537503</v>
      </c>
      <c r="H25" s="10">
        <v>104171</v>
      </c>
      <c r="I25" s="10">
        <v>25305</v>
      </c>
      <c r="J25" s="10">
        <v>0</v>
      </c>
      <c r="K25" s="11"/>
      <c r="L25" s="12"/>
      <c r="M25" s="12"/>
    </row>
    <row r="26" spans="2:13" x14ac:dyDescent="0.3">
      <c r="B26" s="8">
        <v>19</v>
      </c>
      <c r="C26" s="8" t="s">
        <v>33</v>
      </c>
      <c r="D26" s="9" t="s">
        <v>97</v>
      </c>
      <c r="E26" s="8" t="s">
        <v>33</v>
      </c>
      <c r="F26" s="10">
        <v>958365</v>
      </c>
      <c r="G26" s="10">
        <v>2268594</v>
      </c>
      <c r="H26" s="10">
        <v>45804</v>
      </c>
      <c r="I26" s="10">
        <v>5952</v>
      </c>
      <c r="J26" s="10">
        <v>0</v>
      </c>
      <c r="K26" s="11"/>
      <c r="L26" s="12"/>
      <c r="M26" s="12"/>
    </row>
    <row r="27" spans="2:13" x14ac:dyDescent="0.3">
      <c r="B27" s="8">
        <v>20</v>
      </c>
      <c r="C27" s="8" t="s">
        <v>34</v>
      </c>
      <c r="D27" s="9" t="s">
        <v>97</v>
      </c>
      <c r="E27" s="8" t="s">
        <v>34</v>
      </c>
      <c r="F27" s="10">
        <v>1141514</v>
      </c>
      <c r="G27" s="10">
        <v>7272511</v>
      </c>
      <c r="H27" s="10">
        <v>306813</v>
      </c>
      <c r="I27" s="10">
        <v>56871</v>
      </c>
      <c r="J27" s="10">
        <v>0</v>
      </c>
      <c r="K27" s="11"/>
      <c r="L27" s="12"/>
      <c r="M27" s="12"/>
    </row>
    <row r="28" spans="2:13" x14ac:dyDescent="0.3">
      <c r="B28" s="8">
        <v>21</v>
      </c>
      <c r="C28" s="8" t="s">
        <v>35</v>
      </c>
      <c r="D28" s="9" t="s">
        <v>97</v>
      </c>
      <c r="E28" s="8" t="s">
        <v>35</v>
      </c>
      <c r="F28" s="10">
        <v>19411375.32</v>
      </c>
      <c r="G28" s="10">
        <v>66990517.640000001</v>
      </c>
      <c r="H28" s="10">
        <v>255093.88500000001</v>
      </c>
      <c r="I28" s="10">
        <v>88673.3</v>
      </c>
      <c r="J28" s="10">
        <v>262.00167411941243</v>
      </c>
      <c r="K28" s="11"/>
      <c r="L28" s="12"/>
      <c r="M28" s="12"/>
    </row>
    <row r="29" spans="2:13" x14ac:dyDescent="0.3">
      <c r="B29" s="8">
        <v>22</v>
      </c>
      <c r="C29" s="8" t="s">
        <v>36</v>
      </c>
      <c r="D29" s="9" t="s">
        <v>97</v>
      </c>
      <c r="E29" s="8" t="s">
        <v>36</v>
      </c>
      <c r="F29" s="10">
        <v>7103311.8200000003</v>
      </c>
      <c r="G29" s="10">
        <v>6977602.1600000001</v>
      </c>
      <c r="H29" s="10">
        <v>158069.54</v>
      </c>
      <c r="I29" s="10">
        <v>3495</v>
      </c>
      <c r="J29" s="10">
        <v>0</v>
      </c>
      <c r="K29" s="11"/>
      <c r="L29" s="12"/>
      <c r="M29" s="12"/>
    </row>
    <row r="30" spans="2:13" x14ac:dyDescent="0.3">
      <c r="B30" s="8">
        <v>23</v>
      </c>
      <c r="C30" s="8" t="s">
        <v>37</v>
      </c>
      <c r="D30" s="9" t="s">
        <v>97</v>
      </c>
      <c r="E30" s="8" t="s">
        <v>37</v>
      </c>
      <c r="F30" s="10">
        <v>41853118.509999998</v>
      </c>
      <c r="G30" s="10">
        <v>119938812.62</v>
      </c>
      <c r="H30" s="10">
        <v>131234.23000000001</v>
      </c>
      <c r="I30" s="10">
        <v>68431.199999999997</v>
      </c>
      <c r="J30" s="10">
        <v>0</v>
      </c>
      <c r="K30" s="11"/>
      <c r="L30" s="12"/>
      <c r="M30" s="12"/>
    </row>
    <row r="31" spans="2:13" x14ac:dyDescent="0.3">
      <c r="B31" s="8">
        <v>24</v>
      </c>
      <c r="C31" s="8" t="s">
        <v>38</v>
      </c>
      <c r="D31" s="9" t="s">
        <v>97</v>
      </c>
      <c r="E31" s="8" t="s">
        <v>38</v>
      </c>
      <c r="F31" s="10">
        <v>1561983</v>
      </c>
      <c r="G31" s="10">
        <v>3175679</v>
      </c>
      <c r="H31" s="10">
        <v>38836</v>
      </c>
      <c r="I31" s="10">
        <v>7521</v>
      </c>
      <c r="J31" s="10">
        <v>0</v>
      </c>
      <c r="K31" s="11"/>
      <c r="L31" s="12"/>
      <c r="M31" s="12"/>
    </row>
    <row r="32" spans="2:13" x14ac:dyDescent="0.3">
      <c r="B32" s="8">
        <v>25</v>
      </c>
      <c r="C32" s="8" t="s">
        <v>39</v>
      </c>
      <c r="D32" s="9" t="s">
        <v>97</v>
      </c>
      <c r="E32" s="8" t="s">
        <v>39</v>
      </c>
      <c r="F32" s="10">
        <v>32588324.995099999</v>
      </c>
      <c r="G32" s="10">
        <v>148014930.39161</v>
      </c>
      <c r="H32" s="10">
        <v>2069235.4</v>
      </c>
      <c r="I32" s="10">
        <v>455407.5</v>
      </c>
      <c r="J32" s="10">
        <v>-4459.3496082445163</v>
      </c>
      <c r="K32" s="11"/>
      <c r="L32" s="12"/>
      <c r="M32" s="12"/>
    </row>
    <row r="33" spans="2:13" x14ac:dyDescent="0.3">
      <c r="B33" s="8">
        <v>26</v>
      </c>
      <c r="C33" s="8" t="s">
        <v>40</v>
      </c>
      <c r="D33" s="9" t="s">
        <v>97</v>
      </c>
      <c r="E33" s="8" t="s">
        <v>40</v>
      </c>
      <c r="F33" s="10">
        <v>965055.20000000007</v>
      </c>
      <c r="G33" s="10">
        <v>1955688.6</v>
      </c>
      <c r="H33" s="10">
        <v>31979</v>
      </c>
      <c r="I33" s="10">
        <v>78519.100000000006</v>
      </c>
      <c r="J33" s="10">
        <v>-1242.69417689804</v>
      </c>
      <c r="K33" s="11"/>
      <c r="L33" s="12"/>
      <c r="M33" s="12"/>
    </row>
    <row r="34" spans="2:13" x14ac:dyDescent="0.3">
      <c r="B34" s="8">
        <v>27</v>
      </c>
      <c r="C34" s="8" t="s">
        <v>41</v>
      </c>
      <c r="D34" s="9" t="s">
        <v>97</v>
      </c>
      <c r="E34" s="8" t="s">
        <v>41</v>
      </c>
      <c r="F34" s="10">
        <v>1334873.7</v>
      </c>
      <c r="G34" s="10">
        <v>10186127.682399999</v>
      </c>
      <c r="H34" s="10">
        <v>6799</v>
      </c>
      <c r="I34" s="10">
        <v>28421</v>
      </c>
      <c r="J34" s="10">
        <v>2002.4275479515261</v>
      </c>
      <c r="K34" s="11"/>
      <c r="L34" s="12"/>
      <c r="M34" s="12"/>
    </row>
    <row r="35" spans="2:13" x14ac:dyDescent="0.3">
      <c r="B35" s="8">
        <v>28</v>
      </c>
      <c r="C35" s="8" t="s">
        <v>42</v>
      </c>
      <c r="D35" s="9" t="s">
        <v>97</v>
      </c>
      <c r="E35" s="8" t="s">
        <v>42</v>
      </c>
      <c r="F35" s="10">
        <v>1944676.7</v>
      </c>
      <c r="G35" s="10">
        <v>6762805.0692999996</v>
      </c>
      <c r="H35" s="10">
        <v>321051.90000000002</v>
      </c>
      <c r="I35" s="10">
        <v>17759.500100000001</v>
      </c>
      <c r="J35" s="10">
        <v>-16.896760381000259</v>
      </c>
      <c r="K35" s="11"/>
      <c r="L35" s="12"/>
      <c r="M35" s="12"/>
    </row>
    <row r="36" spans="2:13" x14ac:dyDescent="0.3">
      <c r="B36" s="8">
        <v>29</v>
      </c>
      <c r="C36" s="8" t="s">
        <v>43</v>
      </c>
      <c r="D36" s="9" t="s">
        <v>97</v>
      </c>
      <c r="E36" s="8" t="s">
        <v>43</v>
      </c>
      <c r="F36" s="10">
        <v>1579257.0001000001</v>
      </c>
      <c r="G36" s="10">
        <v>4465484.6717999997</v>
      </c>
      <c r="H36" s="10">
        <v>452815</v>
      </c>
      <c r="I36" s="10">
        <v>41824</v>
      </c>
      <c r="J36" s="10">
        <v>15920.450369537029</v>
      </c>
      <c r="K36" s="11"/>
      <c r="L36" s="12"/>
      <c r="M36" s="12"/>
    </row>
    <row r="37" spans="2:13" x14ac:dyDescent="0.3">
      <c r="B37" s="8">
        <v>30</v>
      </c>
      <c r="C37" s="8" t="s">
        <v>44</v>
      </c>
      <c r="D37" s="9" t="s">
        <v>97</v>
      </c>
      <c r="E37" s="8" t="s">
        <v>45</v>
      </c>
      <c r="F37" s="10">
        <v>476010</v>
      </c>
      <c r="G37" s="10">
        <v>960144</v>
      </c>
      <c r="H37" s="10">
        <v>29248</v>
      </c>
      <c r="I37" s="10">
        <v>7810.9999999999991</v>
      </c>
      <c r="J37" s="10">
        <v>0</v>
      </c>
      <c r="K37" s="11"/>
      <c r="L37" s="12"/>
      <c r="M37" s="12"/>
    </row>
    <row r="38" spans="2:13" x14ac:dyDescent="0.3">
      <c r="B38" s="8">
        <v>31</v>
      </c>
      <c r="C38" s="8" t="s">
        <v>46</v>
      </c>
      <c r="D38" s="9" t="s">
        <v>97</v>
      </c>
      <c r="E38" s="8" t="s">
        <v>46</v>
      </c>
      <c r="F38" s="10">
        <v>4606619.6179999998</v>
      </c>
      <c r="G38" s="10">
        <v>17085954.833999999</v>
      </c>
      <c r="H38" s="10">
        <v>20098.5</v>
      </c>
      <c r="I38" s="10">
        <v>26831.017</v>
      </c>
      <c r="J38" s="10">
        <v>-4804.4430992150674</v>
      </c>
      <c r="K38" s="11"/>
      <c r="L38" s="12"/>
      <c r="M38" s="12"/>
    </row>
    <row r="39" spans="2:13" x14ac:dyDescent="0.3">
      <c r="B39" s="8">
        <v>32</v>
      </c>
      <c r="C39" s="8" t="s">
        <v>47</v>
      </c>
      <c r="D39" s="9" t="s">
        <v>97</v>
      </c>
      <c r="E39" s="8" t="s">
        <v>47</v>
      </c>
      <c r="F39" s="10">
        <v>6151912.9299999997</v>
      </c>
      <c r="G39" s="10">
        <v>27401454.534000002</v>
      </c>
      <c r="H39" s="10">
        <v>26322.780999999999</v>
      </c>
      <c r="I39" s="10">
        <v>13555.007</v>
      </c>
      <c r="J39" s="10">
        <v>71907.203995145115</v>
      </c>
      <c r="K39" s="11"/>
      <c r="L39" s="12"/>
      <c r="M39" s="12"/>
    </row>
    <row r="40" spans="2:13" x14ac:dyDescent="0.3">
      <c r="B40" s="8">
        <v>33</v>
      </c>
      <c r="C40" s="8" t="s">
        <v>48</v>
      </c>
      <c r="D40" s="9" t="s">
        <v>97</v>
      </c>
      <c r="E40" s="8" t="s">
        <v>48</v>
      </c>
      <c r="F40" s="10">
        <v>15361392.927999999</v>
      </c>
      <c r="G40" s="10">
        <v>53882088.978</v>
      </c>
      <c r="H40" s="10">
        <v>52005.78</v>
      </c>
      <c r="I40" s="10">
        <v>42190.247000000003</v>
      </c>
      <c r="J40" s="10">
        <v>-57880.447511701539</v>
      </c>
      <c r="K40" s="11"/>
      <c r="L40" s="12"/>
      <c r="M40" s="12"/>
    </row>
    <row r="41" spans="2:13" x14ac:dyDescent="0.3">
      <c r="B41" s="8">
        <v>34</v>
      </c>
      <c r="C41" s="8" t="s">
        <v>49</v>
      </c>
      <c r="D41" s="9" t="s">
        <v>97</v>
      </c>
      <c r="E41" s="8" t="s">
        <v>49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1"/>
      <c r="L41" s="12"/>
      <c r="M41" s="12"/>
    </row>
    <row r="42" spans="2:13" x14ac:dyDescent="0.3">
      <c r="B42" s="8">
        <v>35</v>
      </c>
      <c r="C42" s="8" t="s">
        <v>50</v>
      </c>
      <c r="D42" s="9" t="s">
        <v>97</v>
      </c>
      <c r="E42" s="8" t="s">
        <v>50</v>
      </c>
      <c r="F42" s="10">
        <v>0</v>
      </c>
      <c r="G42" s="10">
        <v>14866</v>
      </c>
      <c r="H42" s="10">
        <v>0</v>
      </c>
      <c r="I42" s="10">
        <v>0</v>
      </c>
      <c r="J42" s="10">
        <v>0</v>
      </c>
      <c r="K42" s="11"/>
      <c r="L42" s="12"/>
      <c r="M42" s="12"/>
    </row>
    <row r="43" spans="2:13" x14ac:dyDescent="0.3">
      <c r="B43" s="8">
        <v>36</v>
      </c>
      <c r="C43" s="8" t="s">
        <v>51</v>
      </c>
      <c r="D43" s="9" t="s">
        <v>97</v>
      </c>
      <c r="E43" s="8" t="s">
        <v>51</v>
      </c>
      <c r="F43" s="10">
        <v>32785.800000000003</v>
      </c>
      <c r="G43" s="10">
        <v>63849.4</v>
      </c>
      <c r="H43" s="10">
        <v>0</v>
      </c>
      <c r="I43" s="10">
        <v>0</v>
      </c>
      <c r="J43" s="10">
        <v>0</v>
      </c>
      <c r="K43" s="11"/>
      <c r="L43" s="12"/>
      <c r="M43" s="12"/>
    </row>
    <row r="44" spans="2:13" x14ac:dyDescent="0.3">
      <c r="B44" s="13" t="s">
        <v>52</v>
      </c>
      <c r="C44" s="14"/>
      <c r="D44" s="14"/>
      <c r="E44" s="15"/>
      <c r="F44" s="16">
        <v>437574210.52950925</v>
      </c>
      <c r="G44" s="16">
        <v>1798945383.7520473</v>
      </c>
      <c r="H44" s="16">
        <v>11167198.16</v>
      </c>
      <c r="I44" s="16">
        <v>2968546.9511000002</v>
      </c>
      <c r="J44" s="16">
        <v>-3775041.0885859709</v>
      </c>
      <c r="K44" s="11"/>
      <c r="L44" s="12"/>
      <c r="M44" s="12"/>
    </row>
    <row r="45" spans="2:13" x14ac:dyDescent="0.3">
      <c r="F45" s="18"/>
      <c r="G45" s="18"/>
      <c r="H45" s="18"/>
      <c r="I45" s="18"/>
      <c r="J45" s="18"/>
    </row>
  </sheetData>
  <mergeCells count="6">
    <mergeCell ref="E2:F2"/>
    <mergeCell ref="B3:C3"/>
    <mergeCell ref="B6:B7"/>
    <mergeCell ref="C6:C7"/>
    <mergeCell ref="D6:D7"/>
    <mergeCell ref="E6:E7"/>
  </mergeCells>
  <pageMargins left="0.75" right="0.75" top="1" bottom="1" header="0" footer="0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F1B94-4BBD-410B-93EF-8716529493C4}">
  <sheetPr codeName="Hoja11">
    <tabColor theme="0"/>
  </sheetPr>
  <dimension ref="B2:O46"/>
  <sheetViews>
    <sheetView showGridLines="0" zoomScale="85" zoomScaleNormal="85" workbookViewId="0">
      <selection activeCell="N13" sqref="N13:N14"/>
    </sheetView>
  </sheetViews>
  <sheetFormatPr baseColWidth="10" defaultRowHeight="13" x14ac:dyDescent="0.3"/>
  <cols>
    <col min="2" max="2" width="3.3984375" customWidth="1"/>
    <col min="3" max="3" width="16.296875" bestFit="1" customWidth="1"/>
    <col min="4" max="4" width="53.8984375" customWidth="1"/>
    <col min="5" max="5" width="12" customWidth="1"/>
    <col min="6" max="6" width="16" customWidth="1"/>
    <col min="7" max="7" width="18.296875" customWidth="1"/>
    <col min="8" max="8" width="15" customWidth="1"/>
    <col min="9" max="9" width="11.59765625" customWidth="1"/>
    <col min="10" max="10" width="13.3984375" customWidth="1"/>
    <col min="11" max="11" width="12.8984375" customWidth="1"/>
    <col min="12" max="12" width="13.69921875" customWidth="1"/>
    <col min="13" max="13" width="14.09765625" customWidth="1"/>
    <col min="14" max="15" width="11.59765625" bestFit="1" customWidth="1"/>
    <col min="16" max="16" width="13.296875" customWidth="1"/>
    <col min="17" max="17" width="12.69921875" customWidth="1"/>
  </cols>
  <sheetData>
    <row r="2" spans="2:15" x14ac:dyDescent="0.3">
      <c r="B2" s="1" t="s">
        <v>0</v>
      </c>
      <c r="D2" s="1"/>
      <c r="E2" s="2" t="s">
        <v>1</v>
      </c>
      <c r="F2" s="2"/>
      <c r="G2" s="3" t="str">
        <f>'Entrada AR'!$G$2</f>
        <v>pre</v>
      </c>
    </row>
    <row r="3" spans="2:15" x14ac:dyDescent="0.3">
      <c r="B3" s="4">
        <f>'Entrada AR'!FechaFacturacion</f>
        <v>45839</v>
      </c>
      <c r="C3" s="4"/>
      <c r="D3" s="5"/>
    </row>
    <row r="4" spans="2:15" x14ac:dyDescent="0.3">
      <c r="B4" s="1"/>
    </row>
    <row r="6" spans="2:15" x14ac:dyDescent="0.3">
      <c r="B6" s="6" t="s">
        <v>3</v>
      </c>
      <c r="C6" s="6" t="s">
        <v>4</v>
      </c>
      <c r="D6" s="6" t="s">
        <v>5</v>
      </c>
      <c r="E6" s="6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54</v>
      </c>
      <c r="N6" s="12"/>
    </row>
    <row r="7" spans="2:15" x14ac:dyDescent="0.3">
      <c r="B7" s="6"/>
      <c r="C7" s="6"/>
      <c r="D7" s="6"/>
      <c r="E7" s="6"/>
      <c r="F7" s="7" t="s">
        <v>12</v>
      </c>
      <c r="G7" s="7" t="s">
        <v>12</v>
      </c>
      <c r="H7" s="7" t="s">
        <v>12</v>
      </c>
      <c r="I7" s="7" t="s">
        <v>12</v>
      </c>
      <c r="J7" s="7" t="s">
        <v>13</v>
      </c>
      <c r="N7" s="12"/>
      <c r="O7" s="17"/>
    </row>
    <row r="8" spans="2:15" x14ac:dyDescent="0.3">
      <c r="B8" s="8">
        <v>1</v>
      </c>
      <c r="C8" s="8" t="s">
        <v>14</v>
      </c>
      <c r="D8" s="9" t="str">
        <f>"resumen_montos_facturados_TD_AR_CDpRGL"&amp;"_"&amp;TEXT($B$3,"yymm")&amp;$G$2&amp;".xlsx"</f>
        <v>resumen_montos_facturados_TD_AR_CDpRGL_2507pre.xlsx</v>
      </c>
      <c r="E8" s="8" t="s">
        <v>14</v>
      </c>
      <c r="F8" s="10">
        <v>1585091</v>
      </c>
      <c r="G8" s="10">
        <v>3507003</v>
      </c>
      <c r="H8" s="10">
        <v>126789</v>
      </c>
      <c r="I8" s="10">
        <v>18748</v>
      </c>
      <c r="J8" s="10">
        <v>-158131.23742725479</v>
      </c>
      <c r="K8" s="11"/>
      <c r="L8" s="11"/>
      <c r="M8" s="12"/>
      <c r="N8" s="12"/>
    </row>
    <row r="9" spans="2:15" x14ac:dyDescent="0.3">
      <c r="B9" s="8">
        <v>2</v>
      </c>
      <c r="C9" s="8" t="s">
        <v>15</v>
      </c>
      <c r="D9" s="9" t="str">
        <f t="shared" ref="D9:D43" si="0">"resumen_montos_facturados_TD_AR_CDpRGL"&amp;"_"&amp;TEXT($B$3,"yymm")&amp;$G$2&amp;".xlsx"</f>
        <v>resumen_montos_facturados_TD_AR_CDpRGL_2507pre.xlsx</v>
      </c>
      <c r="E9" s="8" t="s">
        <v>15</v>
      </c>
      <c r="F9" s="10">
        <v>797826</v>
      </c>
      <c r="G9" s="10">
        <v>3181304</v>
      </c>
      <c r="H9" s="10">
        <v>331</v>
      </c>
      <c r="I9" s="10">
        <v>22611</v>
      </c>
      <c r="J9" s="10">
        <v>-19969086.228885639</v>
      </c>
      <c r="K9" s="11"/>
      <c r="L9" s="11"/>
      <c r="M9" s="12"/>
      <c r="N9" s="12"/>
    </row>
    <row r="10" spans="2:15" x14ac:dyDescent="0.3">
      <c r="B10" s="8">
        <v>3</v>
      </c>
      <c r="C10" s="8" t="s">
        <v>16</v>
      </c>
      <c r="D10" s="9" t="str">
        <f t="shared" si="0"/>
        <v>resumen_montos_facturados_TD_AR_CDpRGL_2507pre.xlsx</v>
      </c>
      <c r="E10" s="8" t="s">
        <v>16</v>
      </c>
      <c r="F10" s="10">
        <v>1450135.2</v>
      </c>
      <c r="G10" s="10">
        <v>7146435.966</v>
      </c>
      <c r="H10" s="10">
        <v>0</v>
      </c>
      <c r="I10" s="10">
        <v>30134.800999999999</v>
      </c>
      <c r="J10" s="10">
        <v>15742622.25730828</v>
      </c>
      <c r="K10" s="11"/>
      <c r="L10" s="11"/>
      <c r="M10" s="12"/>
      <c r="N10" s="12"/>
    </row>
    <row r="11" spans="2:15" x14ac:dyDescent="0.3">
      <c r="B11" s="8">
        <v>4</v>
      </c>
      <c r="C11" s="8" t="s">
        <v>17</v>
      </c>
      <c r="D11" s="9" t="str">
        <f t="shared" si="0"/>
        <v>resumen_montos_facturados_TD_AR_CDpRGL_2507pre.xlsx</v>
      </c>
      <c r="E11" s="8" t="s">
        <v>17</v>
      </c>
      <c r="F11" s="10">
        <v>432958</v>
      </c>
      <c r="G11" s="10">
        <v>1507192</v>
      </c>
      <c r="H11" s="10">
        <v>0</v>
      </c>
      <c r="I11" s="10">
        <v>0</v>
      </c>
      <c r="J11" s="10">
        <v>3844602.5506123709</v>
      </c>
      <c r="K11" s="11"/>
      <c r="L11" s="11"/>
      <c r="M11" s="12"/>
      <c r="N11" s="12"/>
    </row>
    <row r="12" spans="2:15" x14ac:dyDescent="0.3">
      <c r="B12" s="8">
        <v>5</v>
      </c>
      <c r="C12" s="8" t="s">
        <v>18</v>
      </c>
      <c r="D12" s="9" t="str">
        <f t="shared" si="0"/>
        <v>resumen_montos_facturados_TD_AR_CDpRGL_2507pre.xlsx</v>
      </c>
      <c r="E12" s="8" t="s">
        <v>18</v>
      </c>
      <c r="F12" s="10">
        <v>140039720.21649611</v>
      </c>
      <c r="G12" s="10">
        <v>529892016.51421052</v>
      </c>
      <c r="H12" s="10">
        <v>4485187.2450000001</v>
      </c>
      <c r="I12" s="10">
        <v>656771.76399999997</v>
      </c>
      <c r="J12" s="10">
        <v>245842228.13431069</v>
      </c>
      <c r="K12" s="11"/>
      <c r="L12" s="11"/>
      <c r="M12" s="12"/>
      <c r="N12" s="12"/>
    </row>
    <row r="13" spans="2:15" x14ac:dyDescent="0.3">
      <c r="B13" s="8">
        <v>6</v>
      </c>
      <c r="C13" s="8" t="s">
        <v>19</v>
      </c>
      <c r="D13" s="9" t="str">
        <f t="shared" si="0"/>
        <v>resumen_montos_facturados_TD_AR_CDpRGL_2507pre.xlsx</v>
      </c>
      <c r="E13" s="8" t="s">
        <v>20</v>
      </c>
      <c r="F13" s="10">
        <v>276412.52100000001</v>
      </c>
      <c r="G13" s="10">
        <v>919955.61899999995</v>
      </c>
      <c r="H13" s="10">
        <v>0</v>
      </c>
      <c r="I13" s="10">
        <v>0</v>
      </c>
      <c r="J13" s="10">
        <v>-19554438.88940439</v>
      </c>
      <c r="K13" s="11"/>
      <c r="L13" s="11"/>
      <c r="M13" s="12"/>
      <c r="N13" s="12"/>
    </row>
    <row r="14" spans="2:15" x14ac:dyDescent="0.3">
      <c r="B14" s="8">
        <v>7</v>
      </c>
      <c r="C14" s="8" t="s">
        <v>21</v>
      </c>
      <c r="D14" s="9" t="str">
        <f t="shared" si="0"/>
        <v>resumen_montos_facturados_TD_AR_CDpRGL_2507pre.xlsx</v>
      </c>
      <c r="E14" s="8" t="s">
        <v>21</v>
      </c>
      <c r="F14" s="10">
        <v>10988646.189813221</v>
      </c>
      <c r="G14" s="10">
        <v>20872323.987</v>
      </c>
      <c r="H14" s="10">
        <v>432597.261</v>
      </c>
      <c r="I14" s="10">
        <v>33995.805</v>
      </c>
      <c r="J14" s="10">
        <v>-198572001.61223879</v>
      </c>
      <c r="K14" s="11"/>
      <c r="L14" s="11"/>
      <c r="M14" s="12"/>
      <c r="N14" s="12"/>
    </row>
    <row r="15" spans="2:15" x14ac:dyDescent="0.3">
      <c r="B15" s="8">
        <v>8</v>
      </c>
      <c r="C15" s="8" t="s">
        <v>22</v>
      </c>
      <c r="D15" s="9" t="str">
        <f t="shared" si="0"/>
        <v>resumen_montos_facturados_TD_AR_CDpRGL_2507pre.xlsx</v>
      </c>
      <c r="E15" s="8" t="s">
        <v>22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1"/>
      <c r="L15" s="11"/>
      <c r="M15" s="12"/>
      <c r="N15" s="12"/>
    </row>
    <row r="16" spans="2:15" x14ac:dyDescent="0.3">
      <c r="B16" s="8">
        <v>9</v>
      </c>
      <c r="C16" s="8" t="s">
        <v>23</v>
      </c>
      <c r="D16" s="9" t="str">
        <f t="shared" si="0"/>
        <v>resumen_montos_facturados_TD_AR_CDpRGL_2507pre.xlsx</v>
      </c>
      <c r="E16" s="8" t="s">
        <v>23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1"/>
      <c r="L16" s="11"/>
      <c r="M16" s="12"/>
      <c r="N16" s="12"/>
    </row>
    <row r="17" spans="2:14" x14ac:dyDescent="0.3">
      <c r="B17" s="8">
        <v>10</v>
      </c>
      <c r="C17" s="8" t="s">
        <v>24</v>
      </c>
      <c r="D17" s="9" t="str">
        <f t="shared" si="0"/>
        <v>resumen_montos_facturados_TD_AR_CDpRGL_2507pre.xlsx</v>
      </c>
      <c r="E17" s="8" t="s">
        <v>24</v>
      </c>
      <c r="F17" s="10">
        <v>102519781.286</v>
      </c>
      <c r="G17" s="10">
        <v>615678842.171</v>
      </c>
      <c r="H17" s="10">
        <v>422173.5</v>
      </c>
      <c r="I17" s="10">
        <v>944694.95</v>
      </c>
      <c r="J17" s="10">
        <v>1116475295.5552919</v>
      </c>
      <c r="K17" s="11"/>
      <c r="L17" s="11"/>
      <c r="M17" s="12"/>
      <c r="N17" s="12"/>
    </row>
    <row r="18" spans="2:14" x14ac:dyDescent="0.3">
      <c r="B18" s="8">
        <v>11</v>
      </c>
      <c r="C18" s="8" t="s">
        <v>25</v>
      </c>
      <c r="D18" s="9" t="str">
        <f t="shared" si="0"/>
        <v>resumen_montos_facturados_TD_AR_CDpRGL_2507pre.xlsx</v>
      </c>
      <c r="E18" s="8" t="s">
        <v>25</v>
      </c>
      <c r="F18" s="10">
        <v>49042</v>
      </c>
      <c r="G18" s="10">
        <v>494284.79999999999</v>
      </c>
      <c r="H18" s="10">
        <v>0</v>
      </c>
      <c r="I18" s="10">
        <v>82</v>
      </c>
      <c r="J18" s="10">
        <v>929566.72486772784</v>
      </c>
      <c r="K18" s="11"/>
      <c r="L18" s="11"/>
      <c r="M18" s="12"/>
      <c r="N18" s="12"/>
    </row>
    <row r="19" spans="2:14" x14ac:dyDescent="0.3">
      <c r="B19" s="8">
        <v>12</v>
      </c>
      <c r="C19" s="8" t="s">
        <v>26</v>
      </c>
      <c r="D19" s="9" t="str">
        <f t="shared" si="0"/>
        <v>resumen_montos_facturados_TD_AR_CDpRGL_2507pre.xlsx</v>
      </c>
      <c r="E19" s="8" t="s">
        <v>26</v>
      </c>
      <c r="F19" s="10">
        <v>31118094.763999999</v>
      </c>
      <c r="G19" s="10">
        <v>75983954.803727269</v>
      </c>
      <c r="H19" s="10">
        <v>1218497.138</v>
      </c>
      <c r="I19" s="10">
        <v>136265.35399999999</v>
      </c>
      <c r="J19" s="10">
        <v>-66638418.481630407</v>
      </c>
      <c r="K19" s="11"/>
      <c r="L19" s="11"/>
      <c r="M19" s="12"/>
      <c r="N19" s="12"/>
    </row>
    <row r="20" spans="2:14" x14ac:dyDescent="0.3">
      <c r="B20" s="8">
        <v>13</v>
      </c>
      <c r="C20" s="8" t="s">
        <v>27</v>
      </c>
      <c r="D20" s="9" t="str">
        <f t="shared" si="0"/>
        <v>resumen_montos_facturados_TD_AR_CDpRGL_2507pre.xlsx</v>
      </c>
      <c r="E20" s="8" t="s">
        <v>27</v>
      </c>
      <c r="F20" s="10">
        <v>3566656.8309999998</v>
      </c>
      <c r="G20" s="10">
        <v>21200534.309999999</v>
      </c>
      <c r="H20" s="10">
        <v>0</v>
      </c>
      <c r="I20" s="10">
        <v>14009.406000000001</v>
      </c>
      <c r="J20" s="10">
        <v>48470675.122809127</v>
      </c>
      <c r="K20" s="11"/>
      <c r="L20" s="11"/>
      <c r="M20" s="12"/>
      <c r="N20" s="12"/>
    </row>
    <row r="21" spans="2:14" x14ac:dyDescent="0.3">
      <c r="B21" s="8">
        <v>14</v>
      </c>
      <c r="C21" s="8" t="s">
        <v>28</v>
      </c>
      <c r="D21" s="9" t="str">
        <f t="shared" si="0"/>
        <v>resumen_montos_facturados_TD_AR_CDpRGL_2507pre.xlsx</v>
      </c>
      <c r="E21" s="8" t="s">
        <v>28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1"/>
      <c r="L21" s="11"/>
      <c r="M21" s="12"/>
      <c r="N21" s="12"/>
    </row>
    <row r="22" spans="2:14" x14ac:dyDescent="0.3">
      <c r="B22" s="8">
        <v>15</v>
      </c>
      <c r="C22" s="8" t="s">
        <v>29</v>
      </c>
      <c r="D22" s="9" t="str">
        <f t="shared" si="0"/>
        <v>resumen_montos_facturados_TD_AR_CDpRGL_2507pre.xlsx</v>
      </c>
      <c r="E22" s="8" t="s">
        <v>29</v>
      </c>
      <c r="F22" s="10">
        <v>1523795</v>
      </c>
      <c r="G22" s="10">
        <v>8934806</v>
      </c>
      <c r="H22" s="10">
        <v>9577</v>
      </c>
      <c r="I22" s="10">
        <v>6894</v>
      </c>
      <c r="J22" s="10">
        <v>-4751614.4584578974</v>
      </c>
      <c r="K22" s="11"/>
      <c r="L22" s="11"/>
      <c r="M22" s="12"/>
      <c r="N22" s="12"/>
    </row>
    <row r="23" spans="2:14" x14ac:dyDescent="0.3">
      <c r="B23" s="8">
        <v>16</v>
      </c>
      <c r="C23" s="8" t="s">
        <v>30</v>
      </c>
      <c r="D23" s="9" t="str">
        <f t="shared" si="0"/>
        <v>resumen_montos_facturados_TD_AR_CDpRGL_2507pre.xlsx</v>
      </c>
      <c r="E23" s="8" t="s">
        <v>30</v>
      </c>
      <c r="F23" s="10">
        <v>4014606</v>
      </c>
      <c r="G23" s="10">
        <v>13469914</v>
      </c>
      <c r="H23" s="10">
        <v>422455</v>
      </c>
      <c r="I23" s="10">
        <v>77115</v>
      </c>
      <c r="J23" s="10">
        <v>23769268.98167957</v>
      </c>
      <c r="K23" s="11"/>
      <c r="L23" s="11"/>
      <c r="M23" s="12"/>
      <c r="N23" s="12"/>
    </row>
    <row r="24" spans="2:14" x14ac:dyDescent="0.3">
      <c r="B24" s="8">
        <v>17</v>
      </c>
      <c r="C24" s="8" t="s">
        <v>31</v>
      </c>
      <c r="D24" s="9" t="str">
        <f t="shared" si="0"/>
        <v>resumen_montos_facturados_TD_AR_CDpRGL_2507pre.xlsx</v>
      </c>
      <c r="E24" s="8" t="s">
        <v>31</v>
      </c>
      <c r="F24" s="10">
        <v>1635308</v>
      </c>
      <c r="G24" s="10">
        <v>16202203</v>
      </c>
      <c r="H24" s="10">
        <v>14</v>
      </c>
      <c r="I24" s="10">
        <v>58658</v>
      </c>
      <c r="J24" s="10">
        <v>27807108.884946939</v>
      </c>
      <c r="K24" s="11"/>
      <c r="L24" s="11"/>
      <c r="M24" s="12"/>
      <c r="N24" s="12"/>
    </row>
    <row r="25" spans="2:14" x14ac:dyDescent="0.3">
      <c r="B25" s="8">
        <v>18</v>
      </c>
      <c r="C25" s="8" t="s">
        <v>32</v>
      </c>
      <c r="D25" s="9" t="str">
        <f t="shared" si="0"/>
        <v>resumen_montos_facturados_TD_AR_CDpRGL_2507pre.xlsx</v>
      </c>
      <c r="E25" s="8" t="s">
        <v>32</v>
      </c>
      <c r="F25" s="10">
        <v>505561</v>
      </c>
      <c r="G25" s="10">
        <v>2537503</v>
      </c>
      <c r="H25" s="10">
        <v>104171</v>
      </c>
      <c r="I25" s="10">
        <v>25305</v>
      </c>
      <c r="J25" s="10">
        <v>-4940044.1886659572</v>
      </c>
      <c r="K25" s="11"/>
      <c r="L25" s="11"/>
      <c r="M25" s="12"/>
      <c r="N25" s="12"/>
    </row>
    <row r="26" spans="2:14" x14ac:dyDescent="0.3">
      <c r="B26" s="8">
        <v>19</v>
      </c>
      <c r="C26" s="8" t="s">
        <v>33</v>
      </c>
      <c r="D26" s="9" t="str">
        <f t="shared" si="0"/>
        <v>resumen_montos_facturados_TD_AR_CDpRGL_2507pre.xlsx</v>
      </c>
      <c r="E26" s="8" t="s">
        <v>33</v>
      </c>
      <c r="F26" s="10">
        <v>958365</v>
      </c>
      <c r="G26" s="10">
        <v>2268594</v>
      </c>
      <c r="H26" s="10">
        <v>45804</v>
      </c>
      <c r="I26" s="10">
        <v>5952</v>
      </c>
      <c r="J26" s="10">
        <v>3740660.8043782422</v>
      </c>
      <c r="K26" s="11"/>
      <c r="L26" s="11"/>
      <c r="M26" s="12"/>
      <c r="N26" s="12"/>
    </row>
    <row r="27" spans="2:14" x14ac:dyDescent="0.3">
      <c r="B27" s="8">
        <v>20</v>
      </c>
      <c r="C27" s="8" t="s">
        <v>34</v>
      </c>
      <c r="D27" s="9" t="str">
        <f t="shared" si="0"/>
        <v>resumen_montos_facturados_TD_AR_CDpRGL_2507pre.xlsx</v>
      </c>
      <c r="E27" s="8" t="s">
        <v>34</v>
      </c>
      <c r="F27" s="10">
        <v>1141514</v>
      </c>
      <c r="G27" s="10">
        <v>7272511</v>
      </c>
      <c r="H27" s="10">
        <v>306813</v>
      </c>
      <c r="I27" s="10">
        <v>56871</v>
      </c>
      <c r="J27" s="10">
        <v>-176219.61475189889</v>
      </c>
      <c r="K27" s="11"/>
      <c r="L27" s="11"/>
      <c r="M27" s="12"/>
      <c r="N27" s="12"/>
    </row>
    <row r="28" spans="2:14" x14ac:dyDescent="0.3">
      <c r="B28" s="8">
        <v>21</v>
      </c>
      <c r="C28" s="8" t="s">
        <v>35</v>
      </c>
      <c r="D28" s="9" t="str">
        <f t="shared" si="0"/>
        <v>resumen_montos_facturados_TD_AR_CDpRGL_2507pre.xlsx</v>
      </c>
      <c r="E28" s="8" t="s">
        <v>35</v>
      </c>
      <c r="F28" s="10">
        <v>19411375.32</v>
      </c>
      <c r="G28" s="10">
        <v>66990517.640000001</v>
      </c>
      <c r="H28" s="10">
        <v>255093.88500000001</v>
      </c>
      <c r="I28" s="10">
        <v>88673.3</v>
      </c>
      <c r="J28" s="10">
        <v>-75781224.802939638</v>
      </c>
      <c r="K28" s="11"/>
      <c r="L28" s="11"/>
      <c r="M28" s="12"/>
      <c r="N28" s="12"/>
    </row>
    <row r="29" spans="2:14" x14ac:dyDescent="0.3">
      <c r="B29" s="8">
        <v>22</v>
      </c>
      <c r="C29" s="8" t="s">
        <v>36</v>
      </c>
      <c r="D29" s="9" t="str">
        <f t="shared" si="0"/>
        <v>resumen_montos_facturados_TD_AR_CDpRGL_2507pre.xlsx</v>
      </c>
      <c r="E29" s="8" t="s">
        <v>36</v>
      </c>
      <c r="F29" s="10">
        <v>7103311.8200000003</v>
      </c>
      <c r="G29" s="10">
        <v>6977602.1600000001</v>
      </c>
      <c r="H29" s="10">
        <v>158069.54</v>
      </c>
      <c r="I29" s="10">
        <v>3495</v>
      </c>
      <c r="J29" s="10">
        <v>-18833508.828175951</v>
      </c>
      <c r="K29" s="11"/>
      <c r="L29" s="11"/>
      <c r="M29" s="12"/>
      <c r="N29" s="12"/>
    </row>
    <row r="30" spans="2:14" x14ac:dyDescent="0.3">
      <c r="B30" s="8">
        <v>23</v>
      </c>
      <c r="C30" s="8" t="s">
        <v>37</v>
      </c>
      <c r="D30" s="9" t="str">
        <f t="shared" si="0"/>
        <v>resumen_montos_facturados_TD_AR_CDpRGL_2507pre.xlsx</v>
      </c>
      <c r="E30" s="8" t="s">
        <v>37</v>
      </c>
      <c r="F30" s="10">
        <v>41853118.509999998</v>
      </c>
      <c r="G30" s="10">
        <v>119938812.62</v>
      </c>
      <c r="H30" s="10">
        <v>131234.23000000001</v>
      </c>
      <c r="I30" s="10">
        <v>68431.199999999997</v>
      </c>
      <c r="J30" s="10">
        <v>-197015950.43604109</v>
      </c>
      <c r="K30" s="11"/>
      <c r="L30" s="11"/>
      <c r="M30" s="12"/>
      <c r="N30" s="12"/>
    </row>
    <row r="31" spans="2:14" x14ac:dyDescent="0.3">
      <c r="B31" s="8">
        <v>24</v>
      </c>
      <c r="C31" s="8" t="s">
        <v>38</v>
      </c>
      <c r="D31" s="9" t="str">
        <f t="shared" si="0"/>
        <v>resumen_montos_facturados_TD_AR_CDpRGL_2507pre.xlsx</v>
      </c>
      <c r="E31" s="8" t="s">
        <v>38</v>
      </c>
      <c r="F31" s="10">
        <v>1561983</v>
      </c>
      <c r="G31" s="10">
        <v>3175679</v>
      </c>
      <c r="H31" s="10">
        <v>38836</v>
      </c>
      <c r="I31" s="10">
        <v>7521</v>
      </c>
      <c r="J31" s="10">
        <v>4438243.3097799588</v>
      </c>
      <c r="K31" s="11"/>
      <c r="L31" s="11"/>
      <c r="M31" s="12"/>
      <c r="N31" s="12"/>
    </row>
    <row r="32" spans="2:14" x14ac:dyDescent="0.3">
      <c r="B32" s="8">
        <v>25</v>
      </c>
      <c r="C32" s="8" t="s">
        <v>39</v>
      </c>
      <c r="D32" s="9" t="str">
        <f t="shared" si="0"/>
        <v>resumen_montos_facturados_TD_AR_CDpRGL_2507pre.xlsx</v>
      </c>
      <c r="E32" s="8" t="s">
        <v>39</v>
      </c>
      <c r="F32" s="10">
        <v>32588324.995099999</v>
      </c>
      <c r="G32" s="10">
        <v>148014930.39161</v>
      </c>
      <c r="H32" s="10">
        <v>2069235.4</v>
      </c>
      <c r="I32" s="10">
        <v>455407.5</v>
      </c>
      <c r="J32" s="10">
        <v>-256663437.61846209</v>
      </c>
      <c r="K32" s="11"/>
      <c r="L32" s="11"/>
      <c r="M32" s="12"/>
      <c r="N32" s="12"/>
    </row>
    <row r="33" spans="2:14" x14ac:dyDescent="0.3">
      <c r="B33" s="8">
        <v>26</v>
      </c>
      <c r="C33" s="8" t="s">
        <v>40</v>
      </c>
      <c r="D33" s="9" t="str">
        <f t="shared" si="0"/>
        <v>resumen_montos_facturados_TD_AR_CDpRGL_2507pre.xlsx</v>
      </c>
      <c r="E33" s="8" t="s">
        <v>40</v>
      </c>
      <c r="F33" s="10">
        <v>965055.20000000007</v>
      </c>
      <c r="G33" s="10">
        <v>1955688.6</v>
      </c>
      <c r="H33" s="10">
        <v>31979</v>
      </c>
      <c r="I33" s="10">
        <v>78519.100000000006</v>
      </c>
      <c r="J33" s="10">
        <v>4737254.7403221512</v>
      </c>
      <c r="K33" s="11"/>
      <c r="L33" s="11"/>
      <c r="M33" s="12"/>
      <c r="N33" s="12"/>
    </row>
    <row r="34" spans="2:14" x14ac:dyDescent="0.3">
      <c r="B34" s="8">
        <v>27</v>
      </c>
      <c r="C34" s="8" t="s">
        <v>41</v>
      </c>
      <c r="D34" s="9" t="str">
        <f t="shared" si="0"/>
        <v>resumen_montos_facturados_TD_AR_CDpRGL_2507pre.xlsx</v>
      </c>
      <c r="E34" s="8" t="s">
        <v>41</v>
      </c>
      <c r="F34" s="10">
        <v>1334873.7</v>
      </c>
      <c r="G34" s="10">
        <v>10186127.682399999</v>
      </c>
      <c r="H34" s="10">
        <v>6799</v>
      </c>
      <c r="I34" s="10">
        <v>28421</v>
      </c>
      <c r="J34" s="10">
        <v>19120460.537847381</v>
      </c>
      <c r="K34" s="11"/>
      <c r="L34" s="11"/>
      <c r="M34" s="12"/>
      <c r="N34" s="12"/>
    </row>
    <row r="35" spans="2:14" x14ac:dyDescent="0.3">
      <c r="B35" s="8">
        <v>28</v>
      </c>
      <c r="C35" s="8" t="s">
        <v>42</v>
      </c>
      <c r="D35" s="9" t="str">
        <f t="shared" si="0"/>
        <v>resumen_montos_facturados_TD_AR_CDpRGL_2507pre.xlsx</v>
      </c>
      <c r="E35" s="8" t="s">
        <v>42</v>
      </c>
      <c r="F35" s="10">
        <v>1944676.7</v>
      </c>
      <c r="G35" s="10">
        <v>6762805.0692999996</v>
      </c>
      <c r="H35" s="10">
        <v>321051.90000000002</v>
      </c>
      <c r="I35" s="10">
        <v>17759.500100000001</v>
      </c>
      <c r="J35" s="10">
        <v>-50442994.876411617</v>
      </c>
      <c r="K35" s="11"/>
      <c r="L35" s="11"/>
      <c r="M35" s="12"/>
      <c r="N35" s="12"/>
    </row>
    <row r="36" spans="2:14" x14ac:dyDescent="0.3">
      <c r="B36" s="8">
        <v>29</v>
      </c>
      <c r="C36" s="8" t="s">
        <v>43</v>
      </c>
      <c r="D36" s="9" t="str">
        <f t="shared" si="0"/>
        <v>resumen_montos_facturados_TD_AR_CDpRGL_2507pre.xlsx</v>
      </c>
      <c r="E36" s="8" t="s">
        <v>43</v>
      </c>
      <c r="F36" s="10">
        <v>1579257.0001000001</v>
      </c>
      <c r="G36" s="10">
        <v>4465484.6717999997</v>
      </c>
      <c r="H36" s="10">
        <v>452815</v>
      </c>
      <c r="I36" s="10">
        <v>41824</v>
      </c>
      <c r="J36" s="10">
        <v>8206941.6102949353</v>
      </c>
      <c r="K36" s="11"/>
      <c r="L36" s="11"/>
      <c r="M36" s="12"/>
      <c r="N36" s="12"/>
    </row>
    <row r="37" spans="2:14" x14ac:dyDescent="0.3">
      <c r="B37" s="8">
        <v>30</v>
      </c>
      <c r="C37" s="8" t="s">
        <v>44</v>
      </c>
      <c r="D37" s="9" t="str">
        <f t="shared" si="0"/>
        <v>resumen_montos_facturados_TD_AR_CDpRGL_2507pre.xlsx</v>
      </c>
      <c r="E37" s="8" t="s">
        <v>45</v>
      </c>
      <c r="F37" s="10">
        <v>476010</v>
      </c>
      <c r="G37" s="10">
        <v>960144</v>
      </c>
      <c r="H37" s="10">
        <v>29248</v>
      </c>
      <c r="I37" s="10">
        <v>7810.9999999999991</v>
      </c>
      <c r="J37" s="10">
        <v>-13024126.099391291</v>
      </c>
      <c r="K37" s="11"/>
      <c r="L37" s="11"/>
      <c r="M37" s="12"/>
      <c r="N37" s="12"/>
    </row>
    <row r="38" spans="2:14" x14ac:dyDescent="0.3">
      <c r="B38" s="8">
        <v>31</v>
      </c>
      <c r="C38" s="8" t="s">
        <v>46</v>
      </c>
      <c r="D38" s="9" t="str">
        <f t="shared" si="0"/>
        <v>resumen_montos_facturados_TD_AR_CDpRGL_2507pre.xlsx</v>
      </c>
      <c r="E38" s="8" t="s">
        <v>46</v>
      </c>
      <c r="F38" s="10">
        <v>4606619.6179999998</v>
      </c>
      <c r="G38" s="10">
        <v>17085954.833999999</v>
      </c>
      <c r="H38" s="10">
        <v>20098.5</v>
      </c>
      <c r="I38" s="10">
        <v>26831.017</v>
      </c>
      <c r="J38" s="10">
        <v>35802514.619088933</v>
      </c>
      <c r="K38" s="11"/>
      <c r="L38" s="11"/>
      <c r="M38" s="12"/>
      <c r="N38" s="12"/>
    </row>
    <row r="39" spans="2:14" x14ac:dyDescent="0.3">
      <c r="B39" s="8">
        <v>32</v>
      </c>
      <c r="C39" s="8" t="s">
        <v>47</v>
      </c>
      <c r="D39" s="9" t="str">
        <f t="shared" si="0"/>
        <v>resumen_montos_facturados_TD_AR_CDpRGL_2507pre.xlsx</v>
      </c>
      <c r="E39" s="8" t="s">
        <v>47</v>
      </c>
      <c r="F39" s="10">
        <v>6151912.9299999997</v>
      </c>
      <c r="G39" s="10">
        <v>27401454.534000002</v>
      </c>
      <c r="H39" s="10">
        <v>26322.780999999999</v>
      </c>
      <c r="I39" s="10">
        <v>13555.007</v>
      </c>
      <c r="J39" s="10">
        <v>-93998484.210583478</v>
      </c>
      <c r="K39" s="11"/>
      <c r="L39" s="11"/>
      <c r="M39" s="12"/>
      <c r="N39" s="12"/>
    </row>
    <row r="40" spans="2:14" x14ac:dyDescent="0.3">
      <c r="B40" s="8">
        <v>33</v>
      </c>
      <c r="C40" s="8" t="s">
        <v>48</v>
      </c>
      <c r="D40" s="9" t="str">
        <f t="shared" si="0"/>
        <v>resumen_montos_facturados_TD_AR_CDpRGL_2507pre.xlsx</v>
      </c>
      <c r="E40" s="8" t="s">
        <v>48</v>
      </c>
      <c r="F40" s="10">
        <v>15361392.927999999</v>
      </c>
      <c r="G40" s="10">
        <v>53882088.978</v>
      </c>
      <c r="H40" s="10">
        <v>52005.78</v>
      </c>
      <c r="I40" s="10">
        <v>42190.247000000003</v>
      </c>
      <c r="J40" s="10">
        <v>-209919442.5016731</v>
      </c>
      <c r="K40" s="11"/>
      <c r="L40" s="11"/>
      <c r="M40" s="12"/>
      <c r="N40" s="12"/>
    </row>
    <row r="41" spans="2:14" x14ac:dyDescent="0.3">
      <c r="B41" s="8">
        <v>34</v>
      </c>
      <c r="C41" s="8" t="s">
        <v>49</v>
      </c>
      <c r="D41" s="9" t="str">
        <f t="shared" si="0"/>
        <v>resumen_montos_facturados_TD_AR_CDpRGL_2507pre.xlsx</v>
      </c>
      <c r="E41" s="8" t="s">
        <v>49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1"/>
      <c r="L41" s="11"/>
      <c r="M41" s="12"/>
      <c r="N41" s="12"/>
    </row>
    <row r="42" spans="2:14" x14ac:dyDescent="0.3">
      <c r="B42" s="8">
        <v>35</v>
      </c>
      <c r="C42" s="8" t="s">
        <v>50</v>
      </c>
      <c r="D42" s="9" t="str">
        <f t="shared" si="0"/>
        <v>resumen_montos_facturados_TD_AR_CDpRGL_2507pre.xlsx</v>
      </c>
      <c r="E42" s="8" t="s">
        <v>50</v>
      </c>
      <c r="F42" s="10">
        <v>0</v>
      </c>
      <c r="G42" s="10">
        <v>14866</v>
      </c>
      <c r="H42" s="10">
        <v>0</v>
      </c>
      <c r="I42" s="10">
        <v>0</v>
      </c>
      <c r="J42" s="10">
        <v>0</v>
      </c>
      <c r="K42" s="11"/>
      <c r="L42" s="11"/>
      <c r="M42" s="12"/>
      <c r="N42" s="12"/>
    </row>
    <row r="43" spans="2:14" x14ac:dyDescent="0.3">
      <c r="B43" s="8">
        <v>36</v>
      </c>
      <c r="C43" s="8" t="s">
        <v>51</v>
      </c>
      <c r="D43" s="9" t="str">
        <f t="shared" si="0"/>
        <v>resumen_montos_facturados_TD_AR_CDpRGL_2507pre.xlsx</v>
      </c>
      <c r="E43" s="8" t="s">
        <v>51</v>
      </c>
      <c r="F43" s="10">
        <v>32785.800000000003</v>
      </c>
      <c r="G43" s="10">
        <v>63849.4</v>
      </c>
      <c r="H43" s="10">
        <v>0</v>
      </c>
      <c r="I43" s="10">
        <v>0</v>
      </c>
      <c r="J43" s="10">
        <v>-2703423.2023375928</v>
      </c>
      <c r="K43" s="11"/>
      <c r="L43" s="11"/>
      <c r="M43" s="12"/>
      <c r="N43" s="12"/>
    </row>
    <row r="44" spans="2:14" x14ac:dyDescent="0.3">
      <c r="B44" s="13" t="s">
        <v>52</v>
      </c>
      <c r="C44" s="14"/>
      <c r="D44" s="14"/>
      <c r="E44" s="15"/>
      <c r="F44" s="16">
        <f>SUM(F8:F43)</f>
        <v>437574210.52950925</v>
      </c>
      <c r="G44" s="16">
        <f>SUM(G8:G43)</f>
        <v>1798945383.7520473</v>
      </c>
      <c r="H44" s="16">
        <f>SUM(H8:H43)</f>
        <v>11167198.16</v>
      </c>
      <c r="I44" s="16">
        <f>SUM(I8:I43)</f>
        <v>2968546.9511000002</v>
      </c>
      <c r="J44" s="16">
        <f>SUM(J8:J43)</f>
        <v>325784896.54606032</v>
      </c>
      <c r="K44" s="11"/>
      <c r="L44" s="11"/>
      <c r="M44" s="12"/>
      <c r="N44" s="12"/>
    </row>
    <row r="45" spans="2:14" x14ac:dyDescent="0.3">
      <c r="N45" s="12"/>
    </row>
    <row r="46" spans="2:14" x14ac:dyDescent="0.3">
      <c r="F46" s="18"/>
      <c r="G46" s="18"/>
      <c r="H46" s="18"/>
      <c r="I46" s="18"/>
      <c r="J46" s="18"/>
      <c r="N46" s="12"/>
    </row>
  </sheetData>
  <mergeCells count="6">
    <mergeCell ref="E2:F2"/>
    <mergeCell ref="B3:C3"/>
    <mergeCell ref="B6:B7"/>
    <mergeCell ref="C6:C7"/>
    <mergeCell ref="D6:D7"/>
    <mergeCell ref="E6:E7"/>
  </mergeCells>
  <pageMargins left="0.75" right="0.75" top="1" bottom="1" header="0" footer="0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CFE0C-C269-433C-881A-AD770F37C030}">
  <sheetPr codeName="Hoja13">
    <tabColor theme="0"/>
  </sheetPr>
  <dimension ref="B2:O46"/>
  <sheetViews>
    <sheetView showGridLines="0" zoomScale="85" zoomScaleNormal="85" workbookViewId="0">
      <selection activeCell="L9" sqref="L9"/>
    </sheetView>
  </sheetViews>
  <sheetFormatPr baseColWidth="10" defaultRowHeight="13" x14ac:dyDescent="0.3"/>
  <cols>
    <col min="2" max="2" width="3.3984375" customWidth="1"/>
    <col min="3" max="3" width="16.296875" bestFit="1" customWidth="1"/>
    <col min="4" max="4" width="49.59765625" bestFit="1" customWidth="1"/>
    <col min="5" max="5" width="12" customWidth="1"/>
    <col min="6" max="6" width="16" customWidth="1"/>
    <col min="7" max="7" width="18.296875" customWidth="1"/>
    <col min="8" max="8" width="13.69921875" customWidth="1"/>
    <col min="9" max="9" width="12.09765625" customWidth="1"/>
    <col min="10" max="10" width="12.09765625" bestFit="1" customWidth="1"/>
    <col min="11" max="11" width="12.8984375" customWidth="1"/>
    <col min="12" max="12" width="13.69921875" customWidth="1"/>
    <col min="13" max="13" width="14.09765625" customWidth="1"/>
    <col min="14" max="15" width="11.59765625" bestFit="1" customWidth="1"/>
    <col min="16" max="16" width="13.296875" customWidth="1"/>
    <col min="17" max="17" width="12.69921875" customWidth="1"/>
  </cols>
  <sheetData>
    <row r="2" spans="2:15" x14ac:dyDescent="0.3">
      <c r="B2" s="1" t="s">
        <v>0</v>
      </c>
      <c r="D2" s="1"/>
      <c r="E2" s="2" t="s">
        <v>1</v>
      </c>
      <c r="F2" s="2"/>
      <c r="G2" s="3" t="str">
        <f>'Entrada AR'!$G$2</f>
        <v>pre</v>
      </c>
    </row>
    <row r="3" spans="2:15" x14ac:dyDescent="0.3">
      <c r="B3" s="4">
        <f>'Entrada AR'!FechaFacturacion</f>
        <v>45839</v>
      </c>
      <c r="C3" s="4"/>
      <c r="D3" s="5"/>
    </row>
    <row r="4" spans="2:15" x14ac:dyDescent="0.3">
      <c r="B4" s="1"/>
    </row>
    <row r="6" spans="2:15" x14ac:dyDescent="0.3">
      <c r="B6" s="6" t="s">
        <v>3</v>
      </c>
      <c r="C6" s="6" t="s">
        <v>4</v>
      </c>
      <c r="D6" s="6" t="s">
        <v>5</v>
      </c>
      <c r="E6" s="6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55</v>
      </c>
      <c r="N6" s="12"/>
    </row>
    <row r="7" spans="2:15" x14ac:dyDescent="0.3">
      <c r="B7" s="6"/>
      <c r="C7" s="6"/>
      <c r="D7" s="6"/>
      <c r="E7" s="6"/>
      <c r="F7" s="7" t="s">
        <v>12</v>
      </c>
      <c r="G7" s="7" t="s">
        <v>12</v>
      </c>
      <c r="H7" s="7" t="s">
        <v>12</v>
      </c>
      <c r="I7" s="7" t="s">
        <v>12</v>
      </c>
      <c r="J7" s="7" t="s">
        <v>13</v>
      </c>
      <c r="N7" s="12"/>
      <c r="O7" s="17"/>
    </row>
    <row r="8" spans="2:15" ht="26" x14ac:dyDescent="0.3">
      <c r="B8" s="8">
        <v>1</v>
      </c>
      <c r="C8" s="8" t="s">
        <v>14</v>
      </c>
      <c r="D8" s="9" t="str">
        <f>"resumen_montos_facturados_TD_AR_CDpRGL"&amp;"_"&amp;TEXT($B$3,"yymm")&amp;$G$2&amp;".xlsx"</f>
        <v>resumen_montos_facturados_TD_AR_CDpRGL_2507pre.xlsx</v>
      </c>
      <c r="E8" s="8" t="s">
        <v>14</v>
      </c>
      <c r="F8" s="10">
        <v>1585091</v>
      </c>
      <c r="G8" s="10">
        <v>3507003</v>
      </c>
      <c r="H8" s="10">
        <v>126789</v>
      </c>
      <c r="I8" s="10">
        <v>18748</v>
      </c>
      <c r="J8" s="10">
        <v>3730815.4610179458</v>
      </c>
      <c r="K8" s="11"/>
      <c r="L8" s="11"/>
      <c r="M8" s="12"/>
      <c r="N8" s="12"/>
    </row>
    <row r="9" spans="2:15" ht="26" x14ac:dyDescent="0.3">
      <c r="B9" s="8">
        <v>2</v>
      </c>
      <c r="C9" s="8" t="s">
        <v>15</v>
      </c>
      <c r="D9" s="9" t="str">
        <f t="shared" ref="D9:D43" si="0">"resumen_montos_facturados_TD_AR_CDpRGL"&amp;"_"&amp;TEXT($B$3,"yymm")&amp;$G$2&amp;".xlsx"</f>
        <v>resumen_montos_facturados_TD_AR_CDpRGL_2507pre.xlsx</v>
      </c>
      <c r="E9" s="8" t="s">
        <v>15</v>
      </c>
      <c r="F9" s="10">
        <v>797826</v>
      </c>
      <c r="G9" s="10">
        <v>3181304</v>
      </c>
      <c r="H9" s="10">
        <v>331</v>
      </c>
      <c r="I9" s="10">
        <v>22611</v>
      </c>
      <c r="J9" s="10">
        <v>2660126.36865129</v>
      </c>
      <c r="K9" s="11"/>
      <c r="L9" s="11"/>
      <c r="M9" s="12"/>
      <c r="N9" s="12"/>
    </row>
    <row r="10" spans="2:15" ht="26" x14ac:dyDescent="0.3">
      <c r="B10" s="8">
        <v>3</v>
      </c>
      <c r="C10" s="8" t="s">
        <v>16</v>
      </c>
      <c r="D10" s="9" t="str">
        <f t="shared" si="0"/>
        <v>resumen_montos_facturados_TD_AR_CDpRGL_2507pre.xlsx</v>
      </c>
      <c r="E10" s="8" t="s">
        <v>16</v>
      </c>
      <c r="F10" s="10">
        <v>1450135.2</v>
      </c>
      <c r="G10" s="10">
        <v>7146435.966</v>
      </c>
      <c r="H10" s="10">
        <v>0</v>
      </c>
      <c r="I10" s="10">
        <v>30134.800999999999</v>
      </c>
      <c r="J10" s="10">
        <v>7030699.5237599518</v>
      </c>
      <c r="K10" s="11"/>
      <c r="L10" s="11"/>
      <c r="M10" s="12"/>
      <c r="N10" s="12"/>
    </row>
    <row r="11" spans="2:15" ht="26" x14ac:dyDescent="0.3">
      <c r="B11" s="8">
        <v>4</v>
      </c>
      <c r="C11" s="8" t="s">
        <v>17</v>
      </c>
      <c r="D11" s="9" t="str">
        <f t="shared" si="0"/>
        <v>resumen_montos_facturados_TD_AR_CDpRGL_2507pre.xlsx</v>
      </c>
      <c r="E11" s="8" t="s">
        <v>17</v>
      </c>
      <c r="F11" s="10">
        <v>432958</v>
      </c>
      <c r="G11" s="10">
        <v>1507192</v>
      </c>
      <c r="H11" s="10">
        <v>0</v>
      </c>
      <c r="I11" s="10">
        <v>0</v>
      </c>
      <c r="J11" s="10">
        <v>1732492.990608755</v>
      </c>
      <c r="K11" s="11"/>
      <c r="L11" s="11"/>
      <c r="M11" s="12"/>
      <c r="N11" s="12"/>
    </row>
    <row r="12" spans="2:15" ht="26" x14ac:dyDescent="0.3">
      <c r="B12" s="8">
        <v>5</v>
      </c>
      <c r="C12" s="8" t="s">
        <v>18</v>
      </c>
      <c r="D12" s="9" t="str">
        <f t="shared" si="0"/>
        <v>resumen_montos_facturados_TD_AR_CDpRGL_2507pre.xlsx</v>
      </c>
      <c r="E12" s="8" t="s">
        <v>18</v>
      </c>
      <c r="F12" s="10">
        <v>140039720.21649611</v>
      </c>
      <c r="G12" s="10">
        <v>529892016.51421052</v>
      </c>
      <c r="H12" s="10">
        <v>4485187.2450000001</v>
      </c>
      <c r="I12" s="10">
        <v>656771.76399999997</v>
      </c>
      <c r="J12" s="10">
        <v>-539624448.40155602</v>
      </c>
      <c r="K12" s="11"/>
      <c r="L12" s="11"/>
      <c r="M12" s="12"/>
      <c r="N12" s="12"/>
    </row>
    <row r="13" spans="2:15" ht="26" x14ac:dyDescent="0.3">
      <c r="B13" s="8">
        <v>6</v>
      </c>
      <c r="C13" s="8" t="s">
        <v>19</v>
      </c>
      <c r="D13" s="9" t="str">
        <f t="shared" si="0"/>
        <v>resumen_montos_facturados_TD_AR_CDpRGL_2507pre.xlsx</v>
      </c>
      <c r="E13" s="8" t="s">
        <v>20</v>
      </c>
      <c r="F13" s="10">
        <v>276412.52100000001</v>
      </c>
      <c r="G13" s="10">
        <v>919955.61899999995</v>
      </c>
      <c r="H13" s="10">
        <v>0</v>
      </c>
      <c r="I13" s="10">
        <v>0</v>
      </c>
      <c r="J13" s="10">
        <v>697552.24119757593</v>
      </c>
      <c r="K13" s="11"/>
      <c r="L13" s="11"/>
      <c r="M13" s="12"/>
      <c r="N13" s="12"/>
    </row>
    <row r="14" spans="2:15" ht="26" x14ac:dyDescent="0.3">
      <c r="B14" s="8">
        <v>7</v>
      </c>
      <c r="C14" s="8" t="s">
        <v>21</v>
      </c>
      <c r="D14" s="9" t="str">
        <f t="shared" si="0"/>
        <v>resumen_montos_facturados_TD_AR_CDpRGL_2507pre.xlsx</v>
      </c>
      <c r="E14" s="8" t="s">
        <v>21</v>
      </c>
      <c r="F14" s="10">
        <v>10988646.189813221</v>
      </c>
      <c r="G14" s="10">
        <v>20872323.987</v>
      </c>
      <c r="H14" s="10">
        <v>432597.261</v>
      </c>
      <c r="I14" s="10">
        <v>33995.805</v>
      </c>
      <c r="J14" s="10">
        <v>-24943798.642333079</v>
      </c>
      <c r="K14" s="11"/>
      <c r="L14" s="11"/>
      <c r="M14" s="12"/>
      <c r="N14" s="12"/>
    </row>
    <row r="15" spans="2:15" ht="26" x14ac:dyDescent="0.3">
      <c r="B15" s="8">
        <v>8</v>
      </c>
      <c r="C15" s="8" t="s">
        <v>22</v>
      </c>
      <c r="D15" s="9" t="str">
        <f t="shared" si="0"/>
        <v>resumen_montos_facturados_TD_AR_CDpRGL_2507pre.xlsx</v>
      </c>
      <c r="E15" s="8" t="s">
        <v>22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1"/>
      <c r="L15" s="11"/>
      <c r="M15" s="12"/>
      <c r="N15" s="12"/>
    </row>
    <row r="16" spans="2:15" ht="26" x14ac:dyDescent="0.3">
      <c r="B16" s="8">
        <v>9</v>
      </c>
      <c r="C16" s="8" t="s">
        <v>23</v>
      </c>
      <c r="D16" s="9" t="str">
        <f t="shared" si="0"/>
        <v>resumen_montos_facturados_TD_AR_CDpRGL_2507pre.xlsx</v>
      </c>
      <c r="E16" s="8" t="s">
        <v>23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1"/>
      <c r="L16" s="11"/>
      <c r="M16" s="12"/>
      <c r="N16" s="12"/>
    </row>
    <row r="17" spans="2:14" ht="26" x14ac:dyDescent="0.3">
      <c r="B17" s="8">
        <v>10</v>
      </c>
      <c r="C17" s="8" t="s">
        <v>24</v>
      </c>
      <c r="D17" s="9" t="str">
        <f t="shared" si="0"/>
        <v>resumen_montos_facturados_TD_AR_CDpRGL_2507pre.xlsx</v>
      </c>
      <c r="E17" s="8" t="s">
        <v>24</v>
      </c>
      <c r="F17" s="10">
        <v>102519781.286</v>
      </c>
      <c r="G17" s="10">
        <v>615678842.171</v>
      </c>
      <c r="H17" s="10">
        <v>422173.5</v>
      </c>
      <c r="I17" s="10">
        <v>944694.95</v>
      </c>
      <c r="J17" s="10">
        <v>543969326.68731344</v>
      </c>
      <c r="K17" s="11"/>
      <c r="L17" s="11"/>
      <c r="M17" s="12"/>
      <c r="N17" s="12"/>
    </row>
    <row r="18" spans="2:14" ht="26" x14ac:dyDescent="0.3">
      <c r="B18" s="8">
        <v>11</v>
      </c>
      <c r="C18" s="8" t="s">
        <v>25</v>
      </c>
      <c r="D18" s="9" t="str">
        <f t="shared" si="0"/>
        <v>resumen_montos_facturados_TD_AR_CDpRGL_2507pre.xlsx</v>
      </c>
      <c r="E18" s="8" t="s">
        <v>25</v>
      </c>
      <c r="F18" s="10">
        <v>49042</v>
      </c>
      <c r="G18" s="10">
        <v>494284.79999999999</v>
      </c>
      <c r="H18" s="10">
        <v>0</v>
      </c>
      <c r="I18" s="10">
        <v>82</v>
      </c>
      <c r="J18" s="10">
        <v>416510.31654705747</v>
      </c>
      <c r="K18" s="11"/>
      <c r="L18" s="11"/>
      <c r="M18" s="12"/>
      <c r="N18" s="12"/>
    </row>
    <row r="19" spans="2:14" ht="26" x14ac:dyDescent="0.3">
      <c r="B19" s="8">
        <v>12</v>
      </c>
      <c r="C19" s="8" t="s">
        <v>26</v>
      </c>
      <c r="D19" s="9" t="str">
        <f t="shared" si="0"/>
        <v>resumen_montos_facturados_TD_AR_CDpRGL_2507pre.xlsx</v>
      </c>
      <c r="E19" s="8" t="s">
        <v>26</v>
      </c>
      <c r="F19" s="10">
        <v>31118094.763999999</v>
      </c>
      <c r="G19" s="10">
        <v>75983954.803727269</v>
      </c>
      <c r="H19" s="10">
        <v>1218497.138</v>
      </c>
      <c r="I19" s="10">
        <v>136265.35399999999</v>
      </c>
      <c r="J19" s="10">
        <v>-103695547.70536441</v>
      </c>
      <c r="K19" s="11"/>
      <c r="L19" s="11"/>
      <c r="M19" s="12"/>
      <c r="N19" s="12"/>
    </row>
    <row r="20" spans="2:14" ht="26" x14ac:dyDescent="0.3">
      <c r="B20" s="8">
        <v>13</v>
      </c>
      <c r="C20" s="8" t="s">
        <v>27</v>
      </c>
      <c r="D20" s="9" t="str">
        <f t="shared" si="0"/>
        <v>resumen_montos_facturados_TD_AR_CDpRGL_2507pre.xlsx</v>
      </c>
      <c r="E20" s="8" t="s">
        <v>27</v>
      </c>
      <c r="F20" s="10">
        <v>3566656.8309999998</v>
      </c>
      <c r="G20" s="10">
        <v>21200534.309999999</v>
      </c>
      <c r="H20" s="10">
        <v>0</v>
      </c>
      <c r="I20" s="10">
        <v>14009.406000000001</v>
      </c>
      <c r="J20" s="10">
        <v>21855474.147805508</v>
      </c>
      <c r="K20" s="11"/>
      <c r="L20" s="11"/>
      <c r="M20" s="12"/>
      <c r="N20" s="12"/>
    </row>
    <row r="21" spans="2:14" ht="26" x14ac:dyDescent="0.3">
      <c r="B21" s="8">
        <v>14</v>
      </c>
      <c r="C21" s="8" t="s">
        <v>28</v>
      </c>
      <c r="D21" s="9" t="str">
        <f t="shared" si="0"/>
        <v>resumen_montos_facturados_TD_AR_CDpRGL_2507pre.xlsx</v>
      </c>
      <c r="E21" s="8" t="s">
        <v>28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1"/>
      <c r="L21" s="11"/>
      <c r="M21" s="12"/>
      <c r="N21" s="12"/>
    </row>
    <row r="22" spans="2:14" ht="26" x14ac:dyDescent="0.3">
      <c r="B22" s="8">
        <v>15</v>
      </c>
      <c r="C22" s="8" t="s">
        <v>29</v>
      </c>
      <c r="D22" s="9" t="str">
        <f t="shared" si="0"/>
        <v>resumen_montos_facturados_TD_AR_CDpRGL_2507pre.xlsx</v>
      </c>
      <c r="E22" s="8" t="s">
        <v>29</v>
      </c>
      <c r="F22" s="10">
        <v>1523795</v>
      </c>
      <c r="G22" s="10">
        <v>8934806</v>
      </c>
      <c r="H22" s="10">
        <v>9577</v>
      </c>
      <c r="I22" s="10">
        <v>6894</v>
      </c>
      <c r="J22" s="10">
        <v>6578719.2178564016</v>
      </c>
      <c r="K22" s="11"/>
      <c r="L22" s="11"/>
      <c r="M22" s="12"/>
      <c r="N22" s="12"/>
    </row>
    <row r="23" spans="2:14" ht="26" x14ac:dyDescent="0.3">
      <c r="B23" s="8">
        <v>16</v>
      </c>
      <c r="C23" s="8" t="s">
        <v>30</v>
      </c>
      <c r="D23" s="9" t="str">
        <f t="shared" si="0"/>
        <v>resumen_montos_facturados_TD_AR_CDpRGL_2507pre.xlsx</v>
      </c>
      <c r="E23" s="8" t="s">
        <v>30</v>
      </c>
      <c r="F23" s="10">
        <v>4014606</v>
      </c>
      <c r="G23" s="10">
        <v>13469914</v>
      </c>
      <c r="H23" s="10">
        <v>422455</v>
      </c>
      <c r="I23" s="10">
        <v>77115</v>
      </c>
      <c r="J23" s="10">
        <v>12204655.145690279</v>
      </c>
      <c r="K23" s="11"/>
      <c r="L23" s="11"/>
      <c r="M23" s="12"/>
      <c r="N23" s="12"/>
    </row>
    <row r="24" spans="2:14" ht="26" x14ac:dyDescent="0.3">
      <c r="B24" s="8">
        <v>17</v>
      </c>
      <c r="C24" s="8" t="s">
        <v>31</v>
      </c>
      <c r="D24" s="9" t="str">
        <f t="shared" si="0"/>
        <v>resumen_montos_facturados_TD_AR_CDpRGL_2507pre.xlsx</v>
      </c>
      <c r="E24" s="8" t="s">
        <v>31</v>
      </c>
      <c r="F24" s="10">
        <v>1635308</v>
      </c>
      <c r="G24" s="10">
        <v>16202203</v>
      </c>
      <c r="H24" s="10">
        <v>14</v>
      </c>
      <c r="I24" s="10">
        <v>58658</v>
      </c>
      <c r="J24" s="10">
        <v>12500959.5708177</v>
      </c>
      <c r="K24" s="11"/>
      <c r="L24" s="11"/>
      <c r="M24" s="12"/>
      <c r="N24" s="12"/>
    </row>
    <row r="25" spans="2:14" ht="26" x14ac:dyDescent="0.3">
      <c r="B25" s="8">
        <v>18</v>
      </c>
      <c r="C25" s="8" t="s">
        <v>32</v>
      </c>
      <c r="D25" s="9" t="str">
        <f t="shared" si="0"/>
        <v>resumen_montos_facturados_TD_AR_CDpRGL_2507pre.xlsx</v>
      </c>
      <c r="E25" s="8" t="s">
        <v>32</v>
      </c>
      <c r="F25" s="10">
        <v>505561</v>
      </c>
      <c r="G25" s="10">
        <v>2537503</v>
      </c>
      <c r="H25" s="10">
        <v>104171</v>
      </c>
      <c r="I25" s="10">
        <v>25305</v>
      </c>
      <c r="J25" s="10">
        <v>1873396.372242586</v>
      </c>
      <c r="K25" s="11"/>
      <c r="L25" s="11"/>
      <c r="M25" s="12"/>
      <c r="N25" s="12"/>
    </row>
    <row r="26" spans="2:14" ht="26" x14ac:dyDescent="0.3">
      <c r="B26" s="8">
        <v>19</v>
      </c>
      <c r="C26" s="8" t="s">
        <v>33</v>
      </c>
      <c r="D26" s="9" t="str">
        <f t="shared" si="0"/>
        <v>resumen_montos_facturados_TD_AR_CDpRGL_2507pre.xlsx</v>
      </c>
      <c r="E26" s="8" t="s">
        <v>33</v>
      </c>
      <c r="F26" s="10">
        <v>958365</v>
      </c>
      <c r="G26" s="10">
        <v>2268594</v>
      </c>
      <c r="H26" s="10">
        <v>45804</v>
      </c>
      <c r="I26" s="10">
        <v>5952</v>
      </c>
      <c r="J26" s="10">
        <v>1966587.0000579581</v>
      </c>
      <c r="K26" s="11"/>
      <c r="L26" s="11"/>
      <c r="M26" s="12"/>
      <c r="N26" s="12"/>
    </row>
    <row r="27" spans="2:14" ht="26" x14ac:dyDescent="0.3">
      <c r="B27" s="8">
        <v>20</v>
      </c>
      <c r="C27" s="8" t="s">
        <v>34</v>
      </c>
      <c r="D27" s="9" t="str">
        <f t="shared" si="0"/>
        <v>resumen_montos_facturados_TD_AR_CDpRGL_2507pre.xlsx</v>
      </c>
      <c r="E27" s="8" t="s">
        <v>34</v>
      </c>
      <c r="F27" s="10">
        <v>1141514</v>
      </c>
      <c r="G27" s="10">
        <v>7272511</v>
      </c>
      <c r="H27" s="10">
        <v>306813</v>
      </c>
      <c r="I27" s="10">
        <v>56871</v>
      </c>
      <c r="J27" s="10">
        <v>4724313.3063191464</v>
      </c>
      <c r="K27" s="11"/>
      <c r="L27" s="11"/>
      <c r="M27" s="12"/>
      <c r="N27" s="12"/>
    </row>
    <row r="28" spans="2:14" ht="26" x14ac:dyDescent="0.3">
      <c r="B28" s="8">
        <v>21</v>
      </c>
      <c r="C28" s="8" t="s">
        <v>35</v>
      </c>
      <c r="D28" s="9" t="str">
        <f t="shared" si="0"/>
        <v>resumen_montos_facturados_TD_AR_CDpRGL_2507pre.xlsx</v>
      </c>
      <c r="E28" s="8" t="s">
        <v>35</v>
      </c>
      <c r="F28" s="10">
        <v>19411375.32</v>
      </c>
      <c r="G28" s="10">
        <v>66990517.640000001</v>
      </c>
      <c r="H28" s="10">
        <v>255093.88500000001</v>
      </c>
      <c r="I28" s="10">
        <v>88673.3</v>
      </c>
      <c r="J28" s="10">
        <v>51779430.466805398</v>
      </c>
      <c r="K28" s="11"/>
      <c r="L28" s="11"/>
      <c r="M28" s="12"/>
      <c r="N28" s="12"/>
    </row>
    <row r="29" spans="2:14" ht="26" x14ac:dyDescent="0.3">
      <c r="B29" s="8">
        <v>22</v>
      </c>
      <c r="C29" s="8" t="s">
        <v>36</v>
      </c>
      <c r="D29" s="9" t="str">
        <f t="shared" si="0"/>
        <v>resumen_montos_facturados_TD_AR_CDpRGL_2507pre.xlsx</v>
      </c>
      <c r="E29" s="8" t="s">
        <v>36</v>
      </c>
      <c r="F29" s="10">
        <v>7103311.8200000003</v>
      </c>
      <c r="G29" s="10">
        <v>6977602.1600000001</v>
      </c>
      <c r="H29" s="10">
        <v>158069.54</v>
      </c>
      <c r="I29" s="10">
        <v>3495</v>
      </c>
      <c r="J29" s="10">
        <v>8726846.8588881046</v>
      </c>
      <c r="K29" s="11"/>
      <c r="L29" s="11"/>
      <c r="M29" s="12"/>
      <c r="N29" s="12"/>
    </row>
    <row r="30" spans="2:14" ht="26" x14ac:dyDescent="0.3">
      <c r="B30" s="8">
        <v>23</v>
      </c>
      <c r="C30" s="8" t="s">
        <v>37</v>
      </c>
      <c r="D30" s="9" t="str">
        <f t="shared" si="0"/>
        <v>resumen_montos_facturados_TD_AR_CDpRGL_2507pre.xlsx</v>
      </c>
      <c r="E30" s="8" t="s">
        <v>37</v>
      </c>
      <c r="F30" s="10">
        <v>41853118.509999998</v>
      </c>
      <c r="G30" s="10">
        <v>119938812.62</v>
      </c>
      <c r="H30" s="10">
        <v>131234.23000000001</v>
      </c>
      <c r="I30" s="10">
        <v>68431.199999999997</v>
      </c>
      <c r="J30" s="10">
        <v>100932581.8836576</v>
      </c>
      <c r="K30" s="11"/>
      <c r="L30" s="11"/>
      <c r="M30" s="12"/>
      <c r="N30" s="12"/>
    </row>
    <row r="31" spans="2:14" ht="26" x14ac:dyDescent="0.3">
      <c r="B31" s="8">
        <v>24</v>
      </c>
      <c r="C31" s="8" t="s">
        <v>38</v>
      </c>
      <c r="D31" s="9" t="str">
        <f t="shared" si="0"/>
        <v>resumen_montos_facturados_TD_AR_CDpRGL_2507pre.xlsx</v>
      </c>
      <c r="E31" s="8" t="s">
        <v>38</v>
      </c>
      <c r="F31" s="10">
        <v>1561983</v>
      </c>
      <c r="G31" s="10">
        <v>3175679</v>
      </c>
      <c r="H31" s="10">
        <v>38836</v>
      </c>
      <c r="I31" s="10">
        <v>7521</v>
      </c>
      <c r="J31" s="10">
        <v>3044355.6802932848</v>
      </c>
      <c r="K31" s="11"/>
      <c r="L31" s="11"/>
      <c r="M31" s="12"/>
      <c r="N31" s="12"/>
    </row>
    <row r="32" spans="2:14" ht="26" x14ac:dyDescent="0.3">
      <c r="B32" s="8">
        <v>25</v>
      </c>
      <c r="C32" s="8" t="s">
        <v>39</v>
      </c>
      <c r="D32" s="9" t="str">
        <f t="shared" si="0"/>
        <v>resumen_montos_facturados_TD_AR_CDpRGL_2507pre.xlsx</v>
      </c>
      <c r="E32" s="8" t="s">
        <v>39</v>
      </c>
      <c r="F32" s="10">
        <v>32588324.995099999</v>
      </c>
      <c r="G32" s="10">
        <v>148014930.39161</v>
      </c>
      <c r="H32" s="10">
        <v>2069235.4</v>
      </c>
      <c r="I32" s="10">
        <v>455407.5</v>
      </c>
      <c r="J32" s="10">
        <v>-133917980.81213561</v>
      </c>
      <c r="K32" s="11"/>
      <c r="L32" s="11"/>
      <c r="M32" s="12"/>
      <c r="N32" s="12"/>
    </row>
    <row r="33" spans="2:14" ht="26" x14ac:dyDescent="0.3">
      <c r="B33" s="8">
        <v>26</v>
      </c>
      <c r="C33" s="8" t="s">
        <v>40</v>
      </c>
      <c r="D33" s="9" t="str">
        <f t="shared" si="0"/>
        <v>resumen_montos_facturados_TD_AR_CDpRGL_2507pre.xlsx</v>
      </c>
      <c r="E33" s="8" t="s">
        <v>40</v>
      </c>
      <c r="F33" s="10">
        <v>965055.20000000007</v>
      </c>
      <c r="G33" s="10">
        <v>1955688.6</v>
      </c>
      <c r="H33" s="10">
        <v>31979</v>
      </c>
      <c r="I33" s="10">
        <v>78519.100000000006</v>
      </c>
      <c r="J33" s="10">
        <v>2143293.367248408</v>
      </c>
      <c r="K33" s="11"/>
      <c r="L33" s="11"/>
      <c r="M33" s="12"/>
      <c r="N33" s="12"/>
    </row>
    <row r="34" spans="2:14" ht="26" x14ac:dyDescent="0.3">
      <c r="B34" s="8">
        <v>27</v>
      </c>
      <c r="C34" s="8" t="s">
        <v>41</v>
      </c>
      <c r="D34" s="9" t="str">
        <f t="shared" si="0"/>
        <v>resumen_montos_facturados_TD_AR_CDpRGL_2507pre.xlsx</v>
      </c>
      <c r="E34" s="8" t="s">
        <v>41</v>
      </c>
      <c r="F34" s="10">
        <v>1334873.7</v>
      </c>
      <c r="G34" s="10">
        <v>10186127.682399999</v>
      </c>
      <c r="H34" s="10">
        <v>6799</v>
      </c>
      <c r="I34" s="10">
        <v>28421</v>
      </c>
      <c r="J34" s="10">
        <v>8631906.7236375362</v>
      </c>
      <c r="K34" s="11"/>
      <c r="L34" s="11"/>
      <c r="M34" s="12"/>
      <c r="N34" s="12"/>
    </row>
    <row r="35" spans="2:14" ht="26" x14ac:dyDescent="0.3">
      <c r="B35" s="8">
        <v>28</v>
      </c>
      <c r="C35" s="8" t="s">
        <v>42</v>
      </c>
      <c r="D35" s="9" t="str">
        <f t="shared" si="0"/>
        <v>resumen_montos_facturados_TD_AR_CDpRGL_2507pre.xlsx</v>
      </c>
      <c r="E35" s="8" t="s">
        <v>42</v>
      </c>
      <c r="F35" s="10">
        <v>1944676.7</v>
      </c>
      <c r="G35" s="10">
        <v>6762805.0692999996</v>
      </c>
      <c r="H35" s="10">
        <v>321051.90000000002</v>
      </c>
      <c r="I35" s="10">
        <v>17759.500100000001</v>
      </c>
      <c r="J35" s="10">
        <v>5332455.9288298432</v>
      </c>
      <c r="K35" s="11"/>
      <c r="L35" s="11"/>
      <c r="M35" s="12"/>
      <c r="N35" s="12"/>
    </row>
    <row r="36" spans="2:14" ht="26" x14ac:dyDescent="0.3">
      <c r="B36" s="8">
        <v>29</v>
      </c>
      <c r="C36" s="8" t="s">
        <v>43</v>
      </c>
      <c r="D36" s="9" t="str">
        <f t="shared" si="0"/>
        <v>resumen_montos_facturados_TD_AR_CDpRGL_2507pre.xlsx</v>
      </c>
      <c r="E36" s="8" t="s">
        <v>43</v>
      </c>
      <c r="F36" s="10">
        <v>1579257.0001000001</v>
      </c>
      <c r="G36" s="10">
        <v>4465484.6717999997</v>
      </c>
      <c r="H36" s="10">
        <v>452815</v>
      </c>
      <c r="I36" s="10">
        <v>41824</v>
      </c>
      <c r="J36" s="10">
        <v>3719193.5168037661</v>
      </c>
      <c r="K36" s="11"/>
      <c r="L36" s="11"/>
      <c r="M36" s="12"/>
      <c r="N36" s="12"/>
    </row>
    <row r="37" spans="2:14" ht="26" x14ac:dyDescent="0.3">
      <c r="B37" s="8">
        <v>30</v>
      </c>
      <c r="C37" s="8" t="s">
        <v>44</v>
      </c>
      <c r="D37" s="9" t="str">
        <f t="shared" si="0"/>
        <v>resumen_montos_facturados_TD_AR_CDpRGL_2507pre.xlsx</v>
      </c>
      <c r="E37" s="8" t="s">
        <v>45</v>
      </c>
      <c r="F37" s="10">
        <v>476010</v>
      </c>
      <c r="G37" s="10">
        <v>960144</v>
      </c>
      <c r="H37" s="10">
        <v>29248</v>
      </c>
      <c r="I37" s="10">
        <v>7810.9999999999991</v>
      </c>
      <c r="J37" s="10">
        <v>1030889.600419671</v>
      </c>
      <c r="K37" s="11"/>
      <c r="L37" s="11"/>
      <c r="M37" s="12"/>
      <c r="N37" s="12"/>
    </row>
    <row r="38" spans="2:14" ht="26" x14ac:dyDescent="0.3">
      <c r="B38" s="8">
        <v>31</v>
      </c>
      <c r="C38" s="8" t="s">
        <v>46</v>
      </c>
      <c r="D38" s="9" t="str">
        <f t="shared" si="0"/>
        <v>resumen_montos_facturados_TD_AR_CDpRGL_2507pre.xlsx</v>
      </c>
      <c r="E38" s="8" t="s">
        <v>46</v>
      </c>
      <c r="F38" s="10">
        <v>4606619.6179999998</v>
      </c>
      <c r="G38" s="10">
        <v>17085954.833999999</v>
      </c>
      <c r="H38" s="10">
        <v>20098.5</v>
      </c>
      <c r="I38" s="10">
        <v>26831.017</v>
      </c>
      <c r="J38" s="10">
        <v>16362556.26641228</v>
      </c>
      <c r="K38" s="11"/>
      <c r="L38" s="11"/>
      <c r="M38" s="12"/>
      <c r="N38" s="12"/>
    </row>
    <row r="39" spans="2:14" ht="26" x14ac:dyDescent="0.3">
      <c r="B39" s="8">
        <v>32</v>
      </c>
      <c r="C39" s="8" t="s">
        <v>47</v>
      </c>
      <c r="D39" s="9" t="str">
        <f t="shared" si="0"/>
        <v>resumen_montos_facturados_TD_AR_CDpRGL_2507pre.xlsx</v>
      </c>
      <c r="E39" s="8" t="s">
        <v>47</v>
      </c>
      <c r="F39" s="10">
        <v>6151912.9299999997</v>
      </c>
      <c r="G39" s="10">
        <v>27401454.534000002</v>
      </c>
      <c r="H39" s="10">
        <v>26322.780999999999</v>
      </c>
      <c r="I39" s="10">
        <v>13555.007</v>
      </c>
      <c r="J39" s="10">
        <v>23794303.590071268</v>
      </c>
      <c r="K39" s="11"/>
      <c r="L39" s="11"/>
      <c r="M39" s="12"/>
      <c r="N39" s="12"/>
    </row>
    <row r="40" spans="2:14" ht="26" x14ac:dyDescent="0.3">
      <c r="B40" s="8">
        <v>33</v>
      </c>
      <c r="C40" s="8" t="s">
        <v>48</v>
      </c>
      <c r="D40" s="9" t="str">
        <f t="shared" si="0"/>
        <v>resumen_montos_facturados_TD_AR_CDpRGL_2507pre.xlsx</v>
      </c>
      <c r="E40" s="8" t="s">
        <v>48</v>
      </c>
      <c r="F40" s="10">
        <v>15361392.927999999</v>
      </c>
      <c r="G40" s="10">
        <v>53882088.978</v>
      </c>
      <c r="H40" s="10">
        <v>52005.78</v>
      </c>
      <c r="I40" s="10">
        <v>42190.247000000003</v>
      </c>
      <c r="J40" s="10">
        <v>-119538754.688622</v>
      </c>
      <c r="K40" s="11"/>
      <c r="L40" s="11"/>
      <c r="M40" s="12"/>
      <c r="N40" s="12"/>
    </row>
    <row r="41" spans="2:14" ht="26" x14ac:dyDescent="0.3">
      <c r="B41" s="8">
        <v>34</v>
      </c>
      <c r="C41" s="8" t="s">
        <v>49</v>
      </c>
      <c r="D41" s="9" t="str">
        <f t="shared" si="0"/>
        <v>resumen_montos_facturados_TD_AR_CDpRGL_2507pre.xlsx</v>
      </c>
      <c r="E41" s="8" t="s">
        <v>49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1"/>
      <c r="L41" s="11"/>
      <c r="M41" s="12"/>
      <c r="N41" s="12"/>
    </row>
    <row r="42" spans="2:14" ht="26" x14ac:dyDescent="0.3">
      <c r="B42" s="8">
        <v>35</v>
      </c>
      <c r="C42" s="8" t="s">
        <v>50</v>
      </c>
      <c r="D42" s="9" t="str">
        <f t="shared" si="0"/>
        <v>resumen_montos_facturados_TD_AR_CDpRGL_2507pre.xlsx</v>
      </c>
      <c r="E42" s="8" t="s">
        <v>50</v>
      </c>
      <c r="F42" s="10">
        <v>0</v>
      </c>
      <c r="G42" s="10">
        <v>14866</v>
      </c>
      <c r="H42" s="10">
        <v>0</v>
      </c>
      <c r="I42" s="10">
        <v>0</v>
      </c>
      <c r="J42" s="10">
        <v>16255.873157742581</v>
      </c>
      <c r="K42" s="11"/>
      <c r="L42" s="11"/>
      <c r="M42" s="12"/>
      <c r="N42" s="12"/>
    </row>
    <row r="43" spans="2:14" ht="26" x14ac:dyDescent="0.3">
      <c r="B43" s="8">
        <v>36</v>
      </c>
      <c r="C43" s="8" t="s">
        <v>51</v>
      </c>
      <c r="D43" s="9" t="str">
        <f t="shared" si="0"/>
        <v>resumen_montos_facturados_TD_AR_CDpRGL_2507pre.xlsx</v>
      </c>
      <c r="E43" s="8" t="s">
        <v>51</v>
      </c>
      <c r="F43" s="10">
        <v>32785.800000000003</v>
      </c>
      <c r="G43" s="10">
        <v>63849.4</v>
      </c>
      <c r="H43" s="10">
        <v>0</v>
      </c>
      <c r="I43" s="10">
        <v>0</v>
      </c>
      <c r="J43" s="10">
        <v>-3023144.4087765282</v>
      </c>
      <c r="K43" s="11"/>
      <c r="L43" s="11"/>
      <c r="M43" s="12"/>
      <c r="N43" s="12"/>
    </row>
    <row r="44" spans="2:14" x14ac:dyDescent="0.3">
      <c r="B44" s="13" t="s">
        <v>52</v>
      </c>
      <c r="C44" s="14"/>
      <c r="D44" s="14"/>
      <c r="E44" s="15"/>
      <c r="F44" s="16">
        <f>SUM(F8:F43)</f>
        <v>437574210.52950925</v>
      </c>
      <c r="G44" s="16">
        <f>SUM(G8:G43)</f>
        <v>1798945383.7520473</v>
      </c>
      <c r="H44" s="16">
        <f>SUM(H8:H43)</f>
        <v>11167198.16</v>
      </c>
      <c r="I44" s="16">
        <f>SUM(I8:I43)</f>
        <v>2968546.9511000002</v>
      </c>
      <c r="J44" s="16">
        <f>SUM(J8:J43)</f>
        <v>-77287976.55267711</v>
      </c>
      <c r="K44" s="11"/>
      <c r="L44" s="11"/>
      <c r="M44" s="12"/>
      <c r="N44" s="12"/>
    </row>
    <row r="45" spans="2:14" x14ac:dyDescent="0.3">
      <c r="M45" s="12"/>
      <c r="N45" s="12"/>
    </row>
    <row r="46" spans="2:14" x14ac:dyDescent="0.3">
      <c r="F46" s="18"/>
      <c r="G46" s="18"/>
      <c r="H46" s="18"/>
      <c r="I46" s="18"/>
      <c r="J46" s="18"/>
      <c r="N46" s="12"/>
    </row>
  </sheetData>
  <mergeCells count="6">
    <mergeCell ref="E2:F2"/>
    <mergeCell ref="B3:C3"/>
    <mergeCell ref="B6:B7"/>
    <mergeCell ref="C6:C7"/>
    <mergeCell ref="D6:D7"/>
    <mergeCell ref="E6:E7"/>
  </mergeCells>
  <pageMargins left="0.75" right="0.75" top="1" bottom="1" header="0" footer="0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EB04A-6309-44F6-824F-607AB1795F87}">
  <sheetPr codeName="Hoja9">
    <tabColor theme="6" tint="0.59999389629810485"/>
  </sheetPr>
  <dimension ref="B2:R53"/>
  <sheetViews>
    <sheetView showGridLines="0" zoomScale="70" zoomScaleNormal="70" workbookViewId="0">
      <selection activeCell="I13" sqref="I13"/>
    </sheetView>
  </sheetViews>
  <sheetFormatPr baseColWidth="10" defaultColWidth="11.3984375" defaultRowHeight="13" x14ac:dyDescent="0.3"/>
  <cols>
    <col min="1" max="1" width="11.3984375" style="20"/>
    <col min="2" max="2" width="21" style="20" customWidth="1"/>
    <col min="3" max="3" width="14.296875" style="20" bestFit="1" customWidth="1"/>
    <col min="4" max="4" width="15.3984375" style="20" bestFit="1" customWidth="1"/>
    <col min="5" max="5" width="13.59765625" style="20" customWidth="1"/>
    <col min="6" max="6" width="13.69921875" style="20" customWidth="1"/>
    <col min="7" max="7" width="11.59765625" style="20" bestFit="1" customWidth="1"/>
    <col min="8" max="8" width="13.3984375" style="20" bestFit="1" customWidth="1"/>
    <col min="9" max="9" width="16.09765625" style="20" bestFit="1" customWidth="1"/>
    <col min="10" max="10" width="17.09765625" style="20" customWidth="1"/>
    <col min="11" max="11" width="16.09765625" style="20" customWidth="1"/>
    <col min="12" max="12" width="14.59765625" style="20" bestFit="1" customWidth="1"/>
    <col min="13" max="13" width="22.8984375" style="20" bestFit="1" customWidth="1"/>
    <col min="14" max="14" width="15.8984375" style="20" bestFit="1" customWidth="1"/>
    <col min="15" max="15" width="21.8984375" style="20" customWidth="1"/>
    <col min="16" max="16" width="18.296875" style="20" customWidth="1"/>
    <col min="17" max="17" width="14.3984375" style="20" customWidth="1"/>
    <col min="18" max="16384" width="11.3984375" style="20"/>
  </cols>
  <sheetData>
    <row r="2" spans="2:18" x14ac:dyDescent="0.3">
      <c r="B2" s="19" t="s">
        <v>56</v>
      </c>
      <c r="C2" s="19"/>
      <c r="D2" s="19"/>
    </row>
    <row r="3" spans="2:18" x14ac:dyDescent="0.3">
      <c r="B3" s="21">
        <f>FechaFacturacion</f>
        <v>45839</v>
      </c>
      <c r="C3" s="22"/>
      <c r="D3" s="22"/>
      <c r="I3" s="23" t="s">
        <v>57</v>
      </c>
      <c r="J3" s="24"/>
      <c r="K3" s="24"/>
    </row>
    <row r="4" spans="2:18" x14ac:dyDescent="0.3">
      <c r="B4" s="25"/>
      <c r="D4" s="22"/>
      <c r="I4" s="26">
        <v>8.7295690936106674E-3</v>
      </c>
      <c r="J4" s="27"/>
      <c r="K4" s="27"/>
      <c r="L4" s="28"/>
    </row>
    <row r="6" spans="2:18" ht="12.75" customHeight="1" x14ac:dyDescent="0.3">
      <c r="B6" s="29" t="s">
        <v>6</v>
      </c>
      <c r="C6" s="29" t="s">
        <v>7</v>
      </c>
      <c r="D6" s="29" t="s">
        <v>8</v>
      </c>
      <c r="E6" s="29" t="s">
        <v>9</v>
      </c>
      <c r="F6" s="29" t="s">
        <v>10</v>
      </c>
      <c r="G6" s="29" t="s">
        <v>53</v>
      </c>
      <c r="H6" s="29" t="str">
        <f>"Saldo "&amp;TEXT(B3-1,"mmmmmmmmmm")</f>
        <v>Saldo junio</v>
      </c>
      <c r="I6" s="29" t="s">
        <v>58</v>
      </c>
      <c r="J6" s="29" t="s">
        <v>59</v>
      </c>
      <c r="K6" s="29" t="s">
        <v>60</v>
      </c>
      <c r="L6" s="30" t="s">
        <v>61</v>
      </c>
      <c r="M6" s="29" t="s">
        <v>62</v>
      </c>
      <c r="N6" s="31" t="s">
        <v>63</v>
      </c>
      <c r="O6" s="29" t="s">
        <v>64</v>
      </c>
      <c r="P6" s="29" t="s">
        <v>65</v>
      </c>
      <c r="R6" s="32"/>
    </row>
    <row r="7" spans="2:18" ht="12.75" customHeight="1" x14ac:dyDescent="0.3">
      <c r="B7" s="33"/>
      <c r="C7" s="34"/>
      <c r="D7" s="34"/>
      <c r="E7" s="34"/>
      <c r="F7" s="34"/>
      <c r="G7" s="34"/>
      <c r="H7" s="35"/>
      <c r="I7" s="34"/>
      <c r="J7" s="34"/>
      <c r="K7" s="34"/>
      <c r="L7" s="30"/>
      <c r="M7" s="34"/>
      <c r="N7" s="36"/>
      <c r="O7" s="34"/>
      <c r="P7" s="34"/>
    </row>
    <row r="8" spans="2:18" ht="13.5" customHeight="1" x14ac:dyDescent="0.3">
      <c r="B8" s="33"/>
      <c r="C8" s="37" t="s">
        <v>12</v>
      </c>
      <c r="D8" s="37" t="s">
        <v>12</v>
      </c>
      <c r="E8" s="37" t="s">
        <v>12</v>
      </c>
      <c r="F8" s="37" t="s">
        <v>12</v>
      </c>
      <c r="G8" s="37" t="s">
        <v>13</v>
      </c>
      <c r="H8" s="37" t="s">
        <v>13</v>
      </c>
      <c r="I8" s="37" t="s">
        <v>13</v>
      </c>
      <c r="J8" s="37"/>
      <c r="K8" s="37"/>
      <c r="L8" s="37" t="s">
        <v>13</v>
      </c>
      <c r="M8" s="37" t="s">
        <v>13</v>
      </c>
      <c r="N8" s="38" t="s">
        <v>13</v>
      </c>
      <c r="O8" s="39" t="s">
        <v>13</v>
      </c>
      <c r="P8" s="39" t="s">
        <v>13</v>
      </c>
    </row>
    <row r="9" spans="2:18" x14ac:dyDescent="0.3">
      <c r="B9" s="40" t="s">
        <v>14</v>
      </c>
      <c r="C9" s="41">
        <f>SUMIF('Entrada TD'!$E$8:$E$43,'Reliquidación TD'!$B9,'Entrada TD'!F$8:F$43)</f>
        <v>1585091</v>
      </c>
      <c r="D9" s="41">
        <f>SUMIF('Entrada TD'!$E$8:$E$43,'Reliquidación TD'!$B9,'Entrada TD'!G$8:G$43)</f>
        <v>3507003</v>
      </c>
      <c r="E9" s="41">
        <f>SUMIF('Entrada TD'!$E$8:$E$43,'Reliquidación TD'!$B9,'Entrada TD'!H$8:H$43)</f>
        <v>126789</v>
      </c>
      <c r="F9" s="41">
        <f>SUMIF('Entrada TD'!$E$8:$E$43,'Reliquidación TD'!$B9,'Entrada TD'!I$8:I$43)</f>
        <v>18748</v>
      </c>
      <c r="G9" s="41">
        <f>SUMIF('Entrada TD'!$E$8:$E$43,'Reliquidación TD'!$B9,'Entrada TD'!J$8:J$43)</f>
        <v>0</v>
      </c>
      <c r="H9" s="41">
        <v>0</v>
      </c>
      <c r="I9" s="41">
        <f t="shared" ref="I9:I43" si="0">H9*($I$4+1)</f>
        <v>0</v>
      </c>
      <c r="J9" s="41">
        <v>0</v>
      </c>
      <c r="K9" s="41">
        <f>+J9*($I$4+1)</f>
        <v>0</v>
      </c>
      <c r="L9" s="41">
        <f>+G9+K9</f>
        <v>0</v>
      </c>
      <c r="M9" s="41">
        <f>IF(L9&lt;0,-L9,0)</f>
        <v>0</v>
      </c>
      <c r="N9" s="41">
        <f>IF(L9&gt;0,L9,0)</f>
        <v>0</v>
      </c>
      <c r="O9" s="41">
        <f t="shared" ref="O9:O43" si="1">IF(OR($M$44=0,$N$44=0),0,(M9/$M$44-N9/$N$44)*$N$49)</f>
        <v>0</v>
      </c>
      <c r="P9" s="41">
        <f t="shared" ref="P9:P43" si="2">L9+O9</f>
        <v>0</v>
      </c>
    </row>
    <row r="10" spans="2:18" x14ac:dyDescent="0.3">
      <c r="B10" s="42" t="s">
        <v>15</v>
      </c>
      <c r="C10" s="43">
        <f>SUMIF('Entrada TD'!$E$8:$E$43,'Reliquidación TD'!$B10,'Entrada TD'!F$8:F$43)</f>
        <v>797826</v>
      </c>
      <c r="D10" s="43">
        <f>SUMIF('Entrada TD'!$E$8:$E$43,'Reliquidación TD'!$B10,'Entrada TD'!G$8:G$43)</f>
        <v>3181304</v>
      </c>
      <c r="E10" s="43">
        <f>SUMIF('Entrada TD'!$E$8:$E$43,'Reliquidación TD'!$B10,'Entrada TD'!H$8:H$43)</f>
        <v>331</v>
      </c>
      <c r="F10" s="43">
        <f>SUMIF('Entrada TD'!$E$8:$E$43,'Reliquidación TD'!$B10,'Entrada TD'!I$8:I$43)</f>
        <v>22611</v>
      </c>
      <c r="G10" s="43">
        <f>SUMIF('Entrada TD'!$E$8:$E$43,'Reliquidación TD'!$B10,'Entrada TD'!J$8:J$43)</f>
        <v>0</v>
      </c>
      <c r="H10" s="43">
        <v>0</v>
      </c>
      <c r="I10" s="43">
        <f t="shared" si="0"/>
        <v>0</v>
      </c>
      <c r="J10" s="43">
        <v>0</v>
      </c>
      <c r="K10" s="43">
        <f>+J10*($I$4+1)</f>
        <v>0</v>
      </c>
      <c r="L10" s="43">
        <f t="shared" ref="L10:L43" si="3">+G10+K10</f>
        <v>0</v>
      </c>
      <c r="M10" s="43">
        <f t="shared" ref="M10:M43" si="4">IF(L10&lt;0,-L10,0)</f>
        <v>0</v>
      </c>
      <c r="N10" s="43">
        <f t="shared" ref="N10:N43" si="5">IF(L10&gt;0,L10,0)</f>
        <v>0</v>
      </c>
      <c r="O10" s="43">
        <f t="shared" si="1"/>
        <v>0</v>
      </c>
      <c r="P10" s="43">
        <f t="shared" si="2"/>
        <v>0</v>
      </c>
    </row>
    <row r="11" spans="2:18" x14ac:dyDescent="0.3">
      <c r="B11" s="42" t="s">
        <v>16</v>
      </c>
      <c r="C11" s="43">
        <f>SUMIF('Entrada TD'!$E$8:$E$43,'Reliquidación TD'!$B11,'Entrada TD'!F$8:F$43)</f>
        <v>1450135.2</v>
      </c>
      <c r="D11" s="43">
        <f>SUMIF('Entrada TD'!$E$8:$E$43,'Reliquidación TD'!$B11,'Entrada TD'!G$8:G$43)</f>
        <v>7146435.966</v>
      </c>
      <c r="E11" s="43">
        <f>SUMIF('Entrada TD'!$E$8:$E$43,'Reliquidación TD'!$B11,'Entrada TD'!H$8:H$43)</f>
        <v>0</v>
      </c>
      <c r="F11" s="43">
        <f>SUMIF('Entrada TD'!$E$8:$E$43,'Reliquidación TD'!$B11,'Entrada TD'!I$8:I$43)</f>
        <v>30134.800999999999</v>
      </c>
      <c r="G11" s="43">
        <f>SUMIF('Entrada TD'!$E$8:$E$43,'Reliquidación TD'!$B11,'Entrada TD'!J$8:J$43)</f>
        <v>0</v>
      </c>
      <c r="H11" s="43">
        <v>0</v>
      </c>
      <c r="I11" s="43">
        <f t="shared" si="0"/>
        <v>0</v>
      </c>
      <c r="J11" s="43">
        <v>0</v>
      </c>
      <c r="K11" s="43">
        <f>+J11*($I$4+1)</f>
        <v>0</v>
      </c>
      <c r="L11" s="43">
        <f t="shared" si="3"/>
        <v>0</v>
      </c>
      <c r="M11" s="43">
        <f t="shared" si="4"/>
        <v>0</v>
      </c>
      <c r="N11" s="43">
        <f t="shared" si="5"/>
        <v>0</v>
      </c>
      <c r="O11" s="43">
        <f t="shared" si="1"/>
        <v>0</v>
      </c>
      <c r="P11" s="43">
        <f t="shared" si="2"/>
        <v>0</v>
      </c>
    </row>
    <row r="12" spans="2:18" x14ac:dyDescent="0.3">
      <c r="B12" s="42" t="s">
        <v>17</v>
      </c>
      <c r="C12" s="43">
        <f>SUMIF('Entrada TD'!$E$8:$E$43,'Reliquidación TD'!$B12,'Entrada TD'!F$8:F$43)</f>
        <v>432958</v>
      </c>
      <c r="D12" s="43">
        <f>SUMIF('Entrada TD'!$E$8:$E$43,'Reliquidación TD'!$B12,'Entrada TD'!G$8:G$43)</f>
        <v>1507192</v>
      </c>
      <c r="E12" s="43">
        <f>SUMIF('Entrada TD'!$E$8:$E$43,'Reliquidación TD'!$B12,'Entrada TD'!H$8:H$43)</f>
        <v>0</v>
      </c>
      <c r="F12" s="43">
        <f>SUMIF('Entrada TD'!$E$8:$E$43,'Reliquidación TD'!$B12,'Entrada TD'!I$8:I$43)</f>
        <v>0</v>
      </c>
      <c r="G12" s="43">
        <f>SUMIF('Entrada TD'!$E$8:$E$43,'Reliquidación TD'!$B12,'Entrada TD'!J$8:J$43)</f>
        <v>0</v>
      </c>
      <c r="H12" s="43">
        <v>0</v>
      </c>
      <c r="I12" s="43">
        <f t="shared" si="0"/>
        <v>0</v>
      </c>
      <c r="J12" s="43">
        <v>0</v>
      </c>
      <c r="K12" s="43">
        <f t="shared" ref="K12:K43" si="6">+J12*($I$4+1)</f>
        <v>0</v>
      </c>
      <c r="L12" s="43">
        <f t="shared" si="3"/>
        <v>0</v>
      </c>
      <c r="M12" s="43">
        <f t="shared" si="4"/>
        <v>0</v>
      </c>
      <c r="N12" s="43">
        <f t="shared" si="5"/>
        <v>0</v>
      </c>
      <c r="O12" s="43">
        <f t="shared" si="1"/>
        <v>0</v>
      </c>
      <c r="P12" s="43">
        <f t="shared" si="2"/>
        <v>0</v>
      </c>
    </row>
    <row r="13" spans="2:18" x14ac:dyDescent="0.3">
      <c r="B13" s="42" t="s">
        <v>18</v>
      </c>
      <c r="C13" s="43">
        <f>SUMIF('Entrada TD'!$E$8:$E$43,'Reliquidación TD'!$B13,'Entrada TD'!F$8:F$43)</f>
        <v>140039720.21649611</v>
      </c>
      <c r="D13" s="43">
        <f>SUMIF('Entrada TD'!$E$8:$E$43,'Reliquidación TD'!$B13,'Entrada TD'!G$8:G$43)</f>
        <v>529892016.51421052</v>
      </c>
      <c r="E13" s="43">
        <f>SUMIF('Entrada TD'!$E$8:$E$43,'Reliquidación TD'!$B13,'Entrada TD'!H$8:H$43)</f>
        <v>4485187.2450000001</v>
      </c>
      <c r="F13" s="43">
        <f>SUMIF('Entrada TD'!$E$8:$E$43,'Reliquidación TD'!$B13,'Entrada TD'!I$8:I$43)</f>
        <v>656771.76399999997</v>
      </c>
      <c r="G13" s="43">
        <f>SUMIF('Entrada TD'!$E$8:$E$43,'Reliquidación TD'!$B13,'Entrada TD'!J$8:J$43)</f>
        <v>-4699774.576857416</v>
      </c>
      <c r="H13" s="43">
        <v>0</v>
      </c>
      <c r="I13" s="43">
        <f t="shared" si="0"/>
        <v>0</v>
      </c>
      <c r="J13" s="43">
        <v>0</v>
      </c>
      <c r="K13" s="43">
        <f t="shared" si="6"/>
        <v>0</v>
      </c>
      <c r="L13" s="43">
        <f t="shared" si="3"/>
        <v>-4699774.576857416</v>
      </c>
      <c r="M13" s="43">
        <f t="shared" si="4"/>
        <v>4699774.576857416</v>
      </c>
      <c r="N13" s="43">
        <f t="shared" si="5"/>
        <v>0</v>
      </c>
      <c r="O13" s="43">
        <f t="shared" si="1"/>
        <v>978889.86648041767</v>
      </c>
      <c r="P13" s="43">
        <f t="shared" si="2"/>
        <v>-3720884.7103769984</v>
      </c>
    </row>
    <row r="14" spans="2:18" x14ac:dyDescent="0.3">
      <c r="B14" s="42" t="s">
        <v>20</v>
      </c>
      <c r="C14" s="43">
        <f>SUMIF('Entrada TD'!$E$8:$E$43,'Reliquidación TD'!$B14,'Entrada TD'!F$8:F$43)</f>
        <v>276412.52100000001</v>
      </c>
      <c r="D14" s="43">
        <f>SUMIF('Entrada TD'!$E$8:$E$43,'Reliquidación TD'!$B14,'Entrada TD'!G$8:G$43)</f>
        <v>919955.61899999995</v>
      </c>
      <c r="E14" s="43">
        <f>SUMIF('Entrada TD'!$E$8:$E$43,'Reliquidación TD'!$B14,'Entrada TD'!H$8:H$43)</f>
        <v>0</v>
      </c>
      <c r="F14" s="43">
        <f>SUMIF('Entrada TD'!$E$8:$E$43,'Reliquidación TD'!$B14,'Entrada TD'!I$8:I$43)</f>
        <v>0</v>
      </c>
      <c r="G14" s="43">
        <f>SUMIF('Entrada TD'!$E$8:$E$43,'Reliquidación TD'!$B14,'Entrada TD'!J$8:J$43)</f>
        <v>0</v>
      </c>
      <c r="H14" s="43">
        <v>0</v>
      </c>
      <c r="I14" s="43">
        <f>H14*($I$4+1)</f>
        <v>0</v>
      </c>
      <c r="J14" s="43">
        <v>0</v>
      </c>
      <c r="K14" s="43">
        <f t="shared" si="6"/>
        <v>0</v>
      </c>
      <c r="L14" s="43">
        <f t="shared" si="3"/>
        <v>0</v>
      </c>
      <c r="M14" s="43">
        <f t="shared" si="4"/>
        <v>0</v>
      </c>
      <c r="N14" s="43">
        <f t="shared" si="5"/>
        <v>0</v>
      </c>
      <c r="O14" s="43">
        <f t="shared" si="1"/>
        <v>0</v>
      </c>
      <c r="P14" s="43">
        <f t="shared" si="2"/>
        <v>0</v>
      </c>
    </row>
    <row r="15" spans="2:18" x14ac:dyDescent="0.3">
      <c r="B15" s="42" t="s">
        <v>21</v>
      </c>
      <c r="C15" s="43">
        <f>SUMIF('Entrada TD'!$E$8:$E$43,'Reliquidación TD'!$B15,'Entrada TD'!F$8:F$43)</f>
        <v>10988646.189813221</v>
      </c>
      <c r="D15" s="43">
        <f>SUMIF('Entrada TD'!$E$8:$E$43,'Reliquidación TD'!$B15,'Entrada TD'!G$8:G$43)</f>
        <v>20872323.987</v>
      </c>
      <c r="E15" s="43">
        <f>SUMIF('Entrada TD'!$E$8:$E$43,'Reliquidación TD'!$B15,'Entrada TD'!H$8:H$43)</f>
        <v>432597.261</v>
      </c>
      <c r="F15" s="43">
        <f>SUMIF('Entrada TD'!$E$8:$E$43,'Reliquidación TD'!$B15,'Entrada TD'!I$8:I$43)</f>
        <v>33995.805</v>
      </c>
      <c r="G15" s="43">
        <f>SUMIF('Entrada TD'!$E$8:$E$43,'Reliquidación TD'!$B15,'Entrada TD'!J$8:J$43)</f>
        <v>17726.388161247462</v>
      </c>
      <c r="H15" s="43">
        <v>0</v>
      </c>
      <c r="I15" s="43">
        <f t="shared" si="0"/>
        <v>0</v>
      </c>
      <c r="J15" s="43">
        <v>0</v>
      </c>
      <c r="K15" s="43">
        <f t="shared" si="6"/>
        <v>0</v>
      </c>
      <c r="L15" s="43">
        <f t="shared" si="3"/>
        <v>17726.388161247462</v>
      </c>
      <c r="M15" s="43">
        <f t="shared" si="4"/>
        <v>0</v>
      </c>
      <c r="N15" s="43">
        <f t="shared" si="5"/>
        <v>17726.388161247462</v>
      </c>
      <c r="O15" s="43">
        <f t="shared" si="1"/>
        <v>-17726.388161247462</v>
      </c>
      <c r="P15" s="43">
        <f t="shared" si="2"/>
        <v>0</v>
      </c>
    </row>
    <row r="16" spans="2:18" x14ac:dyDescent="0.3">
      <c r="B16" s="42" t="s">
        <v>22</v>
      </c>
      <c r="C16" s="43">
        <f>SUMIF('Entrada TD'!$E$8:$E$43,'Reliquidación TD'!$B16,'Entrada TD'!F$8:F$43)</f>
        <v>0</v>
      </c>
      <c r="D16" s="43">
        <f>SUMIF('Entrada TD'!$E$8:$E$43,'Reliquidación TD'!$B16,'Entrada TD'!G$8:G$43)</f>
        <v>0</v>
      </c>
      <c r="E16" s="43">
        <f>SUMIF('Entrada TD'!$E$8:$E$43,'Reliquidación TD'!$B16,'Entrada TD'!H$8:H$43)</f>
        <v>0</v>
      </c>
      <c r="F16" s="43">
        <f>SUMIF('Entrada TD'!$E$8:$E$43,'Reliquidación TD'!$B16,'Entrada TD'!I$8:I$43)</f>
        <v>0</v>
      </c>
      <c r="G16" s="43">
        <f>SUMIF('Entrada TD'!$E$8:$E$43,'Reliquidación TD'!$B16,'Entrada TD'!J$8:J$43)</f>
        <v>0</v>
      </c>
      <c r="H16" s="43">
        <v>0</v>
      </c>
      <c r="I16" s="43">
        <f t="shared" si="0"/>
        <v>0</v>
      </c>
      <c r="J16" s="43">
        <v>0</v>
      </c>
      <c r="K16" s="43">
        <f t="shared" si="6"/>
        <v>0</v>
      </c>
      <c r="L16" s="43">
        <f t="shared" si="3"/>
        <v>0</v>
      </c>
      <c r="M16" s="43">
        <f t="shared" si="4"/>
        <v>0</v>
      </c>
      <c r="N16" s="43">
        <f t="shared" si="5"/>
        <v>0</v>
      </c>
      <c r="O16" s="43">
        <f t="shared" si="1"/>
        <v>0</v>
      </c>
      <c r="P16" s="43">
        <f t="shared" si="2"/>
        <v>0</v>
      </c>
    </row>
    <row r="17" spans="2:16" x14ac:dyDescent="0.3">
      <c r="B17" s="42" t="s">
        <v>23</v>
      </c>
      <c r="C17" s="43">
        <f>SUMIF('Entrada TD'!$E$8:$E$43,'Reliquidación TD'!$B17,'Entrada TD'!F$8:F$43)</f>
        <v>0</v>
      </c>
      <c r="D17" s="43">
        <f>SUMIF('Entrada TD'!$E$8:$E$43,'Reliquidación TD'!$B17,'Entrada TD'!G$8:G$43)</f>
        <v>0</v>
      </c>
      <c r="E17" s="43">
        <f>SUMIF('Entrada TD'!$E$8:$E$43,'Reliquidación TD'!$B17,'Entrada TD'!H$8:H$43)</f>
        <v>0</v>
      </c>
      <c r="F17" s="43">
        <f>SUMIF('Entrada TD'!$E$8:$E$43,'Reliquidación TD'!$B17,'Entrada TD'!I$8:I$43)</f>
        <v>0</v>
      </c>
      <c r="G17" s="43">
        <f>SUMIF('Entrada TD'!$E$8:$E$43,'Reliquidación TD'!$B17,'Entrada TD'!J$8:J$43)</f>
        <v>0</v>
      </c>
      <c r="H17" s="43">
        <v>0</v>
      </c>
      <c r="I17" s="43">
        <f t="shared" si="0"/>
        <v>0</v>
      </c>
      <c r="J17" s="43">
        <v>0</v>
      </c>
      <c r="K17" s="43">
        <f t="shared" si="6"/>
        <v>0</v>
      </c>
      <c r="L17" s="43">
        <f t="shared" si="3"/>
        <v>0</v>
      </c>
      <c r="M17" s="43">
        <f t="shared" si="4"/>
        <v>0</v>
      </c>
      <c r="N17" s="43">
        <f t="shared" si="5"/>
        <v>0</v>
      </c>
      <c r="O17" s="43">
        <f t="shared" si="1"/>
        <v>0</v>
      </c>
      <c r="P17" s="43">
        <f t="shared" si="2"/>
        <v>0</v>
      </c>
    </row>
    <row r="18" spans="2:16" x14ac:dyDescent="0.3">
      <c r="B18" s="42" t="s">
        <v>24</v>
      </c>
      <c r="C18" s="43">
        <f>SUMIF('Entrada TD'!$E$8:$E$43,'Reliquidación TD'!$B18,'Entrada TD'!F$8:F$43)+SUMIF('Entrada TD'!$E$8:$E$43,"LUZ ANDES",'Entrada TD'!F$8:F$43)</f>
        <v>102568823.286</v>
      </c>
      <c r="D18" s="43">
        <f>SUMIF('Entrada TD'!$E$8:$E$43,'Reliquidación TD'!$B18,'Entrada TD'!G$8:G$43)+SUMIF('Entrada TD'!$E$8:$E$43,"LUZ ANDES",'Entrada TD'!G$8:G$43)</f>
        <v>616173126.97099996</v>
      </c>
      <c r="E18" s="43">
        <f>SUMIF('Entrada TD'!$E$8:$E$43,'Reliquidación TD'!$B18,'Entrada TD'!H$8:H$43)+SUMIF('Entrada TD'!$E$8:$E$43,"LUZ ANDES",'Entrada TD'!H$8:H$43)</f>
        <v>422173.5</v>
      </c>
      <c r="F18" s="43">
        <f>SUMIF('Entrada TD'!$E$8:$E$43,'Reliquidación TD'!$B18,'Entrada TD'!I$8:I$43)+SUMIF('Entrada TD'!$E$8:$E$43,"LUZ ANDES",'Entrada TD'!I$8:I$43)</f>
        <v>944776.95</v>
      </c>
      <c r="G18" s="43">
        <f>SUMIF('Entrada TD'!$E$8:$E$43,'Reliquidación TD'!$B18,'Entrada TD'!J$8:J$43)+SUMIF('Entrada TD'!$E$8:$E$43,"LUZ ANDES",'Entrada TD'!J$8:J$43)</f>
        <v>470065.51200796629</v>
      </c>
      <c r="H18" s="43">
        <v>0</v>
      </c>
      <c r="I18" s="43">
        <f t="shared" si="0"/>
        <v>0</v>
      </c>
      <c r="J18" s="43">
        <v>0</v>
      </c>
      <c r="K18" s="43">
        <f t="shared" si="6"/>
        <v>0</v>
      </c>
      <c r="L18" s="43">
        <f t="shared" si="3"/>
        <v>470065.51200796629</v>
      </c>
      <c r="M18" s="43">
        <f t="shared" si="4"/>
        <v>0</v>
      </c>
      <c r="N18" s="43">
        <f t="shared" si="5"/>
        <v>470065.51200796629</v>
      </c>
      <c r="O18" s="43">
        <f t="shared" si="1"/>
        <v>-470065.51200796629</v>
      </c>
      <c r="P18" s="43">
        <f t="shared" si="2"/>
        <v>0</v>
      </c>
    </row>
    <row r="19" spans="2:16" x14ac:dyDescent="0.3">
      <c r="B19" s="42" t="s">
        <v>26</v>
      </c>
      <c r="C19" s="43">
        <f>SUMIF('Entrada TD'!$E$8:$E$43,'Reliquidación TD'!$B19,'Entrada TD'!F$8:F$43)</f>
        <v>31118094.763999999</v>
      </c>
      <c r="D19" s="43">
        <f>SUMIF('Entrada TD'!$E$8:$E$43,'Reliquidación TD'!$B19,'Entrada TD'!G$8:G$43)</f>
        <v>75983954.803727269</v>
      </c>
      <c r="E19" s="43">
        <f>SUMIF('Entrada TD'!$E$8:$E$43,'Reliquidación TD'!$B19,'Entrada TD'!H$8:H$43)</f>
        <v>1218497.138</v>
      </c>
      <c r="F19" s="43">
        <f>SUMIF('Entrada TD'!$E$8:$E$43,'Reliquidación TD'!$B19,'Entrada TD'!I$8:I$43)</f>
        <v>136265.35399999999</v>
      </c>
      <c r="G19" s="43">
        <f>SUMIF('Entrada TD'!$E$8:$E$43,'Reliquidación TD'!$B19,'Entrada TD'!J$8:J$43)</f>
        <v>228982.78994067799</v>
      </c>
      <c r="H19" s="43">
        <v>0</v>
      </c>
      <c r="I19" s="43">
        <f t="shared" si="0"/>
        <v>0</v>
      </c>
      <c r="J19" s="43">
        <v>0</v>
      </c>
      <c r="K19" s="43">
        <f t="shared" si="6"/>
        <v>0</v>
      </c>
      <c r="L19" s="43">
        <f t="shared" si="3"/>
        <v>228982.78994067799</v>
      </c>
      <c r="M19" s="43">
        <f t="shared" si="4"/>
        <v>0</v>
      </c>
      <c r="N19" s="43">
        <f t="shared" si="5"/>
        <v>228982.78994067799</v>
      </c>
      <c r="O19" s="43">
        <f t="shared" si="1"/>
        <v>-228982.78994067799</v>
      </c>
      <c r="P19" s="43">
        <f t="shared" si="2"/>
        <v>0</v>
      </c>
    </row>
    <row r="20" spans="2:16" x14ac:dyDescent="0.3">
      <c r="B20" s="42" t="s">
        <v>27</v>
      </c>
      <c r="C20" s="43">
        <f>SUMIF('Entrada TD'!$E$8:$E$43,'Reliquidación TD'!$B20,'Entrada TD'!F$8:F$43)</f>
        <v>3566656.8309999998</v>
      </c>
      <c r="D20" s="43">
        <f>SUMIF('Entrada TD'!$E$8:$E$43,'Reliquidación TD'!$B20,'Entrada TD'!G$8:G$43)</f>
        <v>21200534.309999999</v>
      </c>
      <c r="E20" s="43">
        <f>SUMIF('Entrada TD'!$E$8:$E$43,'Reliquidación TD'!$B20,'Entrada TD'!H$8:H$43)</f>
        <v>0</v>
      </c>
      <c r="F20" s="43">
        <f>SUMIF('Entrada TD'!$E$8:$E$43,'Reliquidación TD'!$B20,'Entrada TD'!I$8:I$43)</f>
        <v>14009.406000000001</v>
      </c>
      <c r="G20" s="43">
        <f>SUMIF('Entrada TD'!$E$8:$E$43,'Reliquidación TD'!$B20,'Entrada TD'!J$8:J$43)</f>
        <v>186270.54573123949</v>
      </c>
      <c r="H20" s="43">
        <v>0</v>
      </c>
      <c r="I20" s="43">
        <f t="shared" si="0"/>
        <v>0</v>
      </c>
      <c r="J20" s="43">
        <v>0</v>
      </c>
      <c r="K20" s="43">
        <f t="shared" si="6"/>
        <v>0</v>
      </c>
      <c r="L20" s="43">
        <f t="shared" si="3"/>
        <v>186270.54573123949</v>
      </c>
      <c r="M20" s="43">
        <f t="shared" si="4"/>
        <v>0</v>
      </c>
      <c r="N20" s="43">
        <f t="shared" si="5"/>
        <v>186270.54573123949</v>
      </c>
      <c r="O20" s="43">
        <f t="shared" si="1"/>
        <v>-186270.54573123949</v>
      </c>
      <c r="P20" s="43">
        <f t="shared" si="2"/>
        <v>0</v>
      </c>
    </row>
    <row r="21" spans="2:16" x14ac:dyDescent="0.3">
      <c r="B21" s="42" t="s">
        <v>28</v>
      </c>
      <c r="C21" s="43">
        <f>SUMIF('Entrada TD'!$E$8:$E$43,'Reliquidación TD'!$B21,'Entrada TD'!F$8:F$43)</f>
        <v>0</v>
      </c>
      <c r="D21" s="43">
        <f>SUMIF('Entrada TD'!$E$8:$E$43,'Reliquidación TD'!$B21,'Entrada TD'!G$8:G$43)</f>
        <v>0</v>
      </c>
      <c r="E21" s="43">
        <f>SUMIF('Entrada TD'!$E$8:$E$43,'Reliquidación TD'!$B21,'Entrada TD'!H$8:H$43)</f>
        <v>0</v>
      </c>
      <c r="F21" s="43">
        <f>SUMIF('Entrada TD'!$E$8:$E$43,'Reliquidación TD'!$B21,'Entrada TD'!I$8:I$43)</f>
        <v>0</v>
      </c>
      <c r="G21" s="43">
        <f>SUMIF('Entrada TD'!$E$8:$E$43,'Reliquidación TD'!$B21,'Entrada TD'!J$8:J$43)</f>
        <v>0</v>
      </c>
      <c r="H21" s="43">
        <v>0</v>
      </c>
      <c r="I21" s="43">
        <f t="shared" si="0"/>
        <v>0</v>
      </c>
      <c r="J21" s="43">
        <v>0</v>
      </c>
      <c r="K21" s="43">
        <f t="shared" si="6"/>
        <v>0</v>
      </c>
      <c r="L21" s="43">
        <f t="shared" si="3"/>
        <v>0</v>
      </c>
      <c r="M21" s="43">
        <f t="shared" si="4"/>
        <v>0</v>
      </c>
      <c r="N21" s="43">
        <f t="shared" si="5"/>
        <v>0</v>
      </c>
      <c r="O21" s="43">
        <f t="shared" si="1"/>
        <v>0</v>
      </c>
      <c r="P21" s="43">
        <f t="shared" si="2"/>
        <v>0</v>
      </c>
    </row>
    <row r="22" spans="2:16" x14ac:dyDescent="0.3">
      <c r="B22" s="42" t="s">
        <v>29</v>
      </c>
      <c r="C22" s="43">
        <f>SUMIF('Entrada TD'!$E$8:$E$43,'Reliquidación TD'!$B22,'Entrada TD'!F$8:F$43)</f>
        <v>1523795</v>
      </c>
      <c r="D22" s="43">
        <f>SUMIF('Entrada TD'!$E$8:$E$43,'Reliquidación TD'!$B22,'Entrada TD'!G$8:G$43)</f>
        <v>8934806</v>
      </c>
      <c r="E22" s="43">
        <f>SUMIF('Entrada TD'!$E$8:$E$43,'Reliquidación TD'!$B22,'Entrada TD'!H$8:H$43)</f>
        <v>9577</v>
      </c>
      <c r="F22" s="43">
        <f>SUMIF('Entrada TD'!$E$8:$E$43,'Reliquidación TD'!$B22,'Entrada TD'!I$8:I$43)</f>
        <v>6894</v>
      </c>
      <c r="G22" s="43">
        <f>SUMIF('Entrada TD'!$E$8:$E$43,'Reliquidación TD'!$B22,'Entrada TD'!J$8:J$43)</f>
        <v>0</v>
      </c>
      <c r="H22" s="43">
        <v>0</v>
      </c>
      <c r="I22" s="43">
        <f t="shared" si="0"/>
        <v>0</v>
      </c>
      <c r="J22" s="43">
        <v>0</v>
      </c>
      <c r="K22" s="43">
        <f t="shared" si="6"/>
        <v>0</v>
      </c>
      <c r="L22" s="43">
        <f t="shared" si="3"/>
        <v>0</v>
      </c>
      <c r="M22" s="43">
        <f t="shared" si="4"/>
        <v>0</v>
      </c>
      <c r="N22" s="43">
        <f t="shared" si="5"/>
        <v>0</v>
      </c>
      <c r="O22" s="43">
        <f t="shared" si="1"/>
        <v>0</v>
      </c>
      <c r="P22" s="43">
        <f t="shared" si="2"/>
        <v>0</v>
      </c>
    </row>
    <row r="23" spans="2:16" x14ac:dyDescent="0.3">
      <c r="B23" s="42" t="s">
        <v>30</v>
      </c>
      <c r="C23" s="43">
        <f>SUMIF('Entrada TD'!$E$8:$E$43,'Reliquidación TD'!$B23,'Entrada TD'!F$8:F$43)</f>
        <v>4014606</v>
      </c>
      <c r="D23" s="43">
        <f>SUMIF('Entrada TD'!$E$8:$E$43,'Reliquidación TD'!$B23,'Entrada TD'!G$8:G$43)</f>
        <v>13469914</v>
      </c>
      <c r="E23" s="43">
        <f>SUMIF('Entrada TD'!$E$8:$E$43,'Reliquidación TD'!$B23,'Entrada TD'!H$8:H$43)</f>
        <v>422455</v>
      </c>
      <c r="F23" s="43">
        <f>SUMIF('Entrada TD'!$E$8:$E$43,'Reliquidación TD'!$B23,'Entrada TD'!I$8:I$43)</f>
        <v>77115</v>
      </c>
      <c r="G23" s="43">
        <f>SUMIF('Entrada TD'!$E$8:$E$43,'Reliquidación TD'!$B23,'Entrada TD'!J$8:J$43)</f>
        <v>0</v>
      </c>
      <c r="H23" s="43">
        <v>0</v>
      </c>
      <c r="I23" s="43">
        <f t="shared" si="0"/>
        <v>0</v>
      </c>
      <c r="J23" s="43">
        <v>0</v>
      </c>
      <c r="K23" s="43">
        <f t="shared" si="6"/>
        <v>0</v>
      </c>
      <c r="L23" s="43">
        <f t="shared" si="3"/>
        <v>0</v>
      </c>
      <c r="M23" s="43">
        <f t="shared" si="4"/>
        <v>0</v>
      </c>
      <c r="N23" s="43">
        <f t="shared" si="5"/>
        <v>0</v>
      </c>
      <c r="O23" s="43">
        <f t="shared" si="1"/>
        <v>0</v>
      </c>
      <c r="P23" s="43">
        <f t="shared" si="2"/>
        <v>0</v>
      </c>
    </row>
    <row r="24" spans="2:16" x14ac:dyDescent="0.3">
      <c r="B24" s="42" t="s">
        <v>31</v>
      </c>
      <c r="C24" s="43">
        <f>SUMIF('Entrada TD'!$E$8:$E$43,'Reliquidación TD'!$B24,'Entrada TD'!F$8:F$43)</f>
        <v>1635308</v>
      </c>
      <c r="D24" s="43">
        <f>SUMIF('Entrada TD'!$E$8:$E$43,'Reliquidación TD'!$B24,'Entrada TD'!G$8:G$43)</f>
        <v>16202203</v>
      </c>
      <c r="E24" s="43">
        <f>SUMIF('Entrada TD'!$E$8:$E$43,'Reliquidación TD'!$B24,'Entrada TD'!H$8:H$43)</f>
        <v>14</v>
      </c>
      <c r="F24" s="43">
        <f>SUMIF('Entrada TD'!$E$8:$E$43,'Reliquidación TD'!$B24,'Entrada TD'!I$8:I$43)</f>
        <v>58658</v>
      </c>
      <c r="G24" s="43">
        <f>SUMIF('Entrada TD'!$E$8:$E$43,'Reliquidación TD'!$B24,'Entrada TD'!J$8:J$43)</f>
        <v>0</v>
      </c>
      <c r="H24" s="43">
        <v>0</v>
      </c>
      <c r="I24" s="43">
        <f t="shared" si="0"/>
        <v>0</v>
      </c>
      <c r="J24" s="43">
        <v>0</v>
      </c>
      <c r="K24" s="43">
        <f t="shared" si="6"/>
        <v>0</v>
      </c>
      <c r="L24" s="43">
        <f t="shared" si="3"/>
        <v>0</v>
      </c>
      <c r="M24" s="43">
        <f t="shared" si="4"/>
        <v>0</v>
      </c>
      <c r="N24" s="43">
        <f t="shared" si="5"/>
        <v>0</v>
      </c>
      <c r="O24" s="43">
        <f t="shared" si="1"/>
        <v>0</v>
      </c>
      <c r="P24" s="43">
        <f t="shared" si="2"/>
        <v>0</v>
      </c>
    </row>
    <row r="25" spans="2:16" x14ac:dyDescent="0.3">
      <c r="B25" s="42" t="s">
        <v>32</v>
      </c>
      <c r="C25" s="43">
        <f>SUMIF('Entrada TD'!$E$8:$E$43,'Reliquidación TD'!$B25,'Entrada TD'!F$8:F$43)</f>
        <v>505561</v>
      </c>
      <c r="D25" s="43">
        <f>SUMIF('Entrada TD'!$E$8:$E$43,'Reliquidación TD'!$B25,'Entrada TD'!G$8:G$43)</f>
        <v>2537503</v>
      </c>
      <c r="E25" s="43">
        <f>SUMIF('Entrada TD'!$E$8:$E$43,'Reliquidación TD'!$B25,'Entrada TD'!H$8:H$43)</f>
        <v>104171</v>
      </c>
      <c r="F25" s="43">
        <f>SUMIF('Entrada TD'!$E$8:$E$43,'Reliquidación TD'!$B25,'Entrada TD'!I$8:I$43)</f>
        <v>25305</v>
      </c>
      <c r="G25" s="43">
        <f>SUMIF('Entrada TD'!$E$8:$E$43,'Reliquidación TD'!$B25,'Entrada TD'!J$8:J$43)</f>
        <v>0</v>
      </c>
      <c r="H25" s="43">
        <v>0</v>
      </c>
      <c r="I25" s="43">
        <f t="shared" si="0"/>
        <v>0</v>
      </c>
      <c r="J25" s="43">
        <v>0</v>
      </c>
      <c r="K25" s="43">
        <f t="shared" si="6"/>
        <v>0</v>
      </c>
      <c r="L25" s="43">
        <f t="shared" si="3"/>
        <v>0</v>
      </c>
      <c r="M25" s="43">
        <f t="shared" si="4"/>
        <v>0</v>
      </c>
      <c r="N25" s="43">
        <f t="shared" si="5"/>
        <v>0</v>
      </c>
      <c r="O25" s="43">
        <f t="shared" si="1"/>
        <v>0</v>
      </c>
      <c r="P25" s="43">
        <f t="shared" si="2"/>
        <v>0</v>
      </c>
    </row>
    <row r="26" spans="2:16" x14ac:dyDescent="0.3">
      <c r="B26" s="42" t="s">
        <v>33</v>
      </c>
      <c r="C26" s="43">
        <f>SUMIF('Entrada TD'!$E$8:$E$43,'Reliquidación TD'!$B26,'Entrada TD'!F$8:F$43)</f>
        <v>958365</v>
      </c>
      <c r="D26" s="43">
        <f>SUMIF('Entrada TD'!$E$8:$E$43,'Reliquidación TD'!$B26,'Entrada TD'!G$8:G$43)</f>
        <v>2268594</v>
      </c>
      <c r="E26" s="43">
        <f>SUMIF('Entrada TD'!$E$8:$E$43,'Reliquidación TD'!$B26,'Entrada TD'!H$8:H$43)</f>
        <v>45804</v>
      </c>
      <c r="F26" s="43">
        <f>SUMIF('Entrada TD'!$E$8:$E$43,'Reliquidación TD'!$B26,'Entrada TD'!I$8:I$43)</f>
        <v>5952</v>
      </c>
      <c r="G26" s="43">
        <f>SUMIF('Entrada TD'!$E$8:$E$43,'Reliquidación TD'!$B26,'Entrada TD'!J$8:J$43)</f>
        <v>0</v>
      </c>
      <c r="H26" s="43">
        <v>0</v>
      </c>
      <c r="I26" s="43">
        <f t="shared" si="0"/>
        <v>0</v>
      </c>
      <c r="J26" s="43">
        <v>0</v>
      </c>
      <c r="K26" s="43">
        <f t="shared" si="6"/>
        <v>0</v>
      </c>
      <c r="L26" s="43">
        <f t="shared" si="3"/>
        <v>0</v>
      </c>
      <c r="M26" s="43">
        <f t="shared" si="4"/>
        <v>0</v>
      </c>
      <c r="N26" s="43">
        <f t="shared" si="5"/>
        <v>0</v>
      </c>
      <c r="O26" s="43">
        <f t="shared" si="1"/>
        <v>0</v>
      </c>
      <c r="P26" s="43">
        <f t="shared" si="2"/>
        <v>0</v>
      </c>
    </row>
    <row r="27" spans="2:16" x14ac:dyDescent="0.3">
      <c r="B27" s="42" t="s">
        <v>34</v>
      </c>
      <c r="C27" s="43">
        <f>SUMIF('Entrada TD'!$E$8:$E$43,'Reliquidación TD'!$B27,'Entrada TD'!F$8:F$43)</f>
        <v>1141514</v>
      </c>
      <c r="D27" s="43">
        <f>SUMIF('Entrada TD'!$E$8:$E$43,'Reliquidación TD'!$B27,'Entrada TD'!G$8:G$43)</f>
        <v>7272511</v>
      </c>
      <c r="E27" s="43">
        <f>SUMIF('Entrada TD'!$E$8:$E$43,'Reliquidación TD'!$B27,'Entrada TD'!H$8:H$43)</f>
        <v>306813</v>
      </c>
      <c r="F27" s="43">
        <f>SUMIF('Entrada TD'!$E$8:$E$43,'Reliquidación TD'!$B27,'Entrada TD'!I$8:I$43)</f>
        <v>56871</v>
      </c>
      <c r="G27" s="43">
        <f>SUMIF('Entrada TD'!$E$8:$E$43,'Reliquidación TD'!$B27,'Entrada TD'!J$8:J$43)</f>
        <v>0</v>
      </c>
      <c r="H27" s="43">
        <v>0</v>
      </c>
      <c r="I27" s="43">
        <f t="shared" si="0"/>
        <v>0</v>
      </c>
      <c r="J27" s="43">
        <v>0</v>
      </c>
      <c r="K27" s="43">
        <f t="shared" si="6"/>
        <v>0</v>
      </c>
      <c r="L27" s="43">
        <f t="shared" si="3"/>
        <v>0</v>
      </c>
      <c r="M27" s="43">
        <f t="shared" si="4"/>
        <v>0</v>
      </c>
      <c r="N27" s="43">
        <f t="shared" si="5"/>
        <v>0</v>
      </c>
      <c r="O27" s="43">
        <f t="shared" si="1"/>
        <v>0</v>
      </c>
      <c r="P27" s="43">
        <f t="shared" si="2"/>
        <v>0</v>
      </c>
    </row>
    <row r="28" spans="2:16" x14ac:dyDescent="0.3">
      <c r="B28" s="42" t="s">
        <v>35</v>
      </c>
      <c r="C28" s="43">
        <f>SUMIF('Entrada TD'!$E$8:$E$43,'Reliquidación TD'!$B28,'Entrada TD'!F$8:F$43)</f>
        <v>19411375.32</v>
      </c>
      <c r="D28" s="43">
        <f>SUMIF('Entrada TD'!$E$8:$E$43,'Reliquidación TD'!$B28,'Entrada TD'!G$8:G$43)</f>
        <v>66990517.640000001</v>
      </c>
      <c r="E28" s="43">
        <f>SUMIF('Entrada TD'!$E$8:$E$43,'Reliquidación TD'!$B28,'Entrada TD'!H$8:H$43)</f>
        <v>255093.88500000001</v>
      </c>
      <c r="F28" s="43">
        <f>SUMIF('Entrada TD'!$E$8:$E$43,'Reliquidación TD'!$B28,'Entrada TD'!I$8:I$43)</f>
        <v>88673.3</v>
      </c>
      <c r="G28" s="43">
        <f>SUMIF('Entrada TD'!$E$8:$E$43,'Reliquidación TD'!$B28,'Entrada TD'!J$8:J$43)</f>
        <v>262.00167411941243</v>
      </c>
      <c r="H28" s="43">
        <v>0</v>
      </c>
      <c r="I28" s="43">
        <f t="shared" si="0"/>
        <v>0</v>
      </c>
      <c r="J28" s="43">
        <v>0</v>
      </c>
      <c r="K28" s="43">
        <f t="shared" si="6"/>
        <v>0</v>
      </c>
      <c r="L28" s="43">
        <f t="shared" si="3"/>
        <v>262.00167411941243</v>
      </c>
      <c r="M28" s="43">
        <f t="shared" si="4"/>
        <v>0</v>
      </c>
      <c r="N28" s="43">
        <f t="shared" si="5"/>
        <v>262.00167411941243</v>
      </c>
      <c r="O28" s="43">
        <f t="shared" si="1"/>
        <v>-262.00167411941243</v>
      </c>
      <c r="P28" s="43">
        <f t="shared" si="2"/>
        <v>0</v>
      </c>
    </row>
    <row r="29" spans="2:16" x14ac:dyDescent="0.3">
      <c r="B29" s="42" t="s">
        <v>36</v>
      </c>
      <c r="C29" s="43">
        <f>SUMIF('Entrada TD'!$E$8:$E$43,'Reliquidación TD'!$B29,'Entrada TD'!F$8:F$43)</f>
        <v>7103311.8200000003</v>
      </c>
      <c r="D29" s="43">
        <f>SUMIF('Entrada TD'!$E$8:$E$43,'Reliquidación TD'!$B29,'Entrada TD'!G$8:G$43)</f>
        <v>6977602.1600000001</v>
      </c>
      <c r="E29" s="43">
        <f>SUMIF('Entrada TD'!$E$8:$E$43,'Reliquidación TD'!$B29,'Entrada TD'!H$8:H$43)</f>
        <v>158069.54</v>
      </c>
      <c r="F29" s="43">
        <f>SUMIF('Entrada TD'!$E$8:$E$43,'Reliquidación TD'!$B29,'Entrada TD'!I$8:I$43)</f>
        <v>3495</v>
      </c>
      <c r="G29" s="43">
        <f>SUMIF('Entrada TD'!$E$8:$E$43,'Reliquidación TD'!$B29,'Entrada TD'!J$8:J$43)</f>
        <v>0</v>
      </c>
      <c r="H29" s="43">
        <v>0</v>
      </c>
      <c r="I29" s="43">
        <f t="shared" si="0"/>
        <v>0</v>
      </c>
      <c r="J29" s="43">
        <v>0</v>
      </c>
      <c r="K29" s="43">
        <f t="shared" si="6"/>
        <v>0</v>
      </c>
      <c r="L29" s="43">
        <f t="shared" si="3"/>
        <v>0</v>
      </c>
      <c r="M29" s="43">
        <f t="shared" si="4"/>
        <v>0</v>
      </c>
      <c r="N29" s="43">
        <f t="shared" si="5"/>
        <v>0</v>
      </c>
      <c r="O29" s="43">
        <f t="shared" si="1"/>
        <v>0</v>
      </c>
      <c r="P29" s="43">
        <f t="shared" si="2"/>
        <v>0</v>
      </c>
    </row>
    <row r="30" spans="2:16" x14ac:dyDescent="0.3">
      <c r="B30" s="42" t="s">
        <v>37</v>
      </c>
      <c r="C30" s="43">
        <f>SUMIF('Entrada TD'!$E$8:$E$43,'Reliquidación TD'!$B30,'Entrada TD'!F$8:F$43)</f>
        <v>41853118.509999998</v>
      </c>
      <c r="D30" s="43">
        <f>SUMIF('Entrada TD'!$E$8:$E$43,'Reliquidación TD'!$B30,'Entrada TD'!G$8:G$43)</f>
        <v>119938812.62</v>
      </c>
      <c r="E30" s="43">
        <f>SUMIF('Entrada TD'!$E$8:$E$43,'Reliquidación TD'!$B30,'Entrada TD'!H$8:H$43)</f>
        <v>131234.23000000001</v>
      </c>
      <c r="F30" s="43">
        <f>SUMIF('Entrada TD'!$E$8:$E$43,'Reliquidación TD'!$B30,'Entrada TD'!I$8:I$43)</f>
        <v>68431.199999999997</v>
      </c>
      <c r="G30" s="43">
        <f>SUMIF('Entrada TD'!$E$8:$E$43,'Reliquidación TD'!$B30,'Entrada TD'!J$8:J$43)</f>
        <v>0</v>
      </c>
      <c r="H30" s="43">
        <v>0</v>
      </c>
      <c r="I30" s="43">
        <f t="shared" si="0"/>
        <v>0</v>
      </c>
      <c r="J30" s="43">
        <v>0</v>
      </c>
      <c r="K30" s="43">
        <f t="shared" si="6"/>
        <v>0</v>
      </c>
      <c r="L30" s="43">
        <f t="shared" si="3"/>
        <v>0</v>
      </c>
      <c r="M30" s="43">
        <f t="shared" si="4"/>
        <v>0</v>
      </c>
      <c r="N30" s="43">
        <f t="shared" si="5"/>
        <v>0</v>
      </c>
      <c r="O30" s="43">
        <f t="shared" si="1"/>
        <v>0</v>
      </c>
      <c r="P30" s="43">
        <f t="shared" si="2"/>
        <v>0</v>
      </c>
    </row>
    <row r="31" spans="2:16" x14ac:dyDescent="0.3">
      <c r="B31" s="42" t="s">
        <v>38</v>
      </c>
      <c r="C31" s="43">
        <f>SUMIF('Entrada TD'!$E$8:$E$43,'Reliquidación TD'!$B31,'Entrada TD'!F$8:F$43)</f>
        <v>1561983</v>
      </c>
      <c r="D31" s="43">
        <f>SUMIF('Entrada TD'!$E$8:$E$43,'Reliquidación TD'!$B31,'Entrada TD'!G$8:G$43)</f>
        <v>3175679</v>
      </c>
      <c r="E31" s="43">
        <f>SUMIF('Entrada TD'!$E$8:$E$43,'Reliquidación TD'!$B31,'Entrada TD'!H$8:H$43)</f>
        <v>38836</v>
      </c>
      <c r="F31" s="43">
        <f>SUMIF('Entrada TD'!$E$8:$E$43,'Reliquidación TD'!$B31,'Entrada TD'!I$8:I$43)</f>
        <v>7521</v>
      </c>
      <c r="G31" s="43">
        <f>SUMIF('Entrada TD'!$E$8:$E$43,'Reliquidación TD'!$B31,'Entrada TD'!J$8:J$43)</f>
        <v>0</v>
      </c>
      <c r="H31" s="43">
        <v>0</v>
      </c>
      <c r="I31" s="43">
        <f t="shared" si="0"/>
        <v>0</v>
      </c>
      <c r="J31" s="43">
        <v>0</v>
      </c>
      <c r="K31" s="43">
        <f t="shared" si="6"/>
        <v>0</v>
      </c>
      <c r="L31" s="43">
        <f t="shared" si="3"/>
        <v>0</v>
      </c>
      <c r="M31" s="43">
        <f t="shared" si="4"/>
        <v>0</v>
      </c>
      <c r="N31" s="43">
        <f t="shared" si="5"/>
        <v>0</v>
      </c>
      <c r="O31" s="43">
        <f t="shared" si="1"/>
        <v>0</v>
      </c>
      <c r="P31" s="43">
        <f t="shared" si="2"/>
        <v>0</v>
      </c>
    </row>
    <row r="32" spans="2:16" x14ac:dyDescent="0.3">
      <c r="B32" s="42" t="s">
        <v>39</v>
      </c>
      <c r="C32" s="43">
        <f>SUMIF('Entrada TD'!$E$8:$E$43,'Reliquidación TD'!$B32,'Entrada TD'!F$8:F$43)</f>
        <v>32588324.995099999</v>
      </c>
      <c r="D32" s="43">
        <f>SUMIF('Entrada TD'!$E$8:$E$43,'Reliquidación TD'!$B32,'Entrada TD'!G$8:G$43)</f>
        <v>148014930.39161</v>
      </c>
      <c r="E32" s="43">
        <f>SUMIF('Entrada TD'!$E$8:$E$43,'Reliquidación TD'!$B32,'Entrada TD'!H$8:H$43)</f>
        <v>2069235.4</v>
      </c>
      <c r="F32" s="43">
        <f>SUMIF('Entrada TD'!$E$8:$E$43,'Reliquidación TD'!$B32,'Entrada TD'!I$8:I$43)</f>
        <v>455407.5</v>
      </c>
      <c r="G32" s="43">
        <f>SUMIF('Entrada TD'!$E$8:$E$43,'Reliquidación TD'!$B32,'Entrada TD'!J$8:J$43)</f>
        <v>-4459.3496082445163</v>
      </c>
      <c r="H32" s="43">
        <v>0</v>
      </c>
      <c r="I32" s="43">
        <f t="shared" si="0"/>
        <v>0</v>
      </c>
      <c r="J32" s="43">
        <v>0</v>
      </c>
      <c r="K32" s="43">
        <f t="shared" si="6"/>
        <v>0</v>
      </c>
      <c r="L32" s="43">
        <f t="shared" si="3"/>
        <v>-4459.3496082445163</v>
      </c>
      <c r="M32" s="43">
        <f t="shared" si="4"/>
        <v>4459.3496082445163</v>
      </c>
      <c r="N32" s="43">
        <f t="shared" si="5"/>
        <v>0</v>
      </c>
      <c r="O32" s="43">
        <f t="shared" si="1"/>
        <v>928.81308905731612</v>
      </c>
      <c r="P32" s="43">
        <f t="shared" si="2"/>
        <v>-3530.5365191872002</v>
      </c>
    </row>
    <row r="33" spans="2:16" x14ac:dyDescent="0.3">
      <c r="B33" s="42" t="s">
        <v>40</v>
      </c>
      <c r="C33" s="43">
        <f>SUMIF('Entrada TD'!$E$8:$E$43,'Reliquidación TD'!$B33,'Entrada TD'!F$8:F$43)</f>
        <v>965055.20000000007</v>
      </c>
      <c r="D33" s="43">
        <f>SUMIF('Entrada TD'!$E$8:$E$43,'Reliquidación TD'!$B33,'Entrada TD'!G$8:G$43)</f>
        <v>1955688.6</v>
      </c>
      <c r="E33" s="43">
        <f>SUMIF('Entrada TD'!$E$8:$E$43,'Reliquidación TD'!$B33,'Entrada TD'!H$8:H$43)</f>
        <v>31979</v>
      </c>
      <c r="F33" s="43">
        <f>SUMIF('Entrada TD'!$E$8:$E$43,'Reliquidación TD'!$B33,'Entrada TD'!I$8:I$43)</f>
        <v>78519.100000000006</v>
      </c>
      <c r="G33" s="43">
        <f>SUMIF('Entrada TD'!$E$8:$E$43,'Reliquidación TD'!$B33,'Entrada TD'!J$8:J$43)</f>
        <v>-1242.69417689804</v>
      </c>
      <c r="H33" s="43">
        <v>0</v>
      </c>
      <c r="I33" s="43">
        <f t="shared" si="0"/>
        <v>0</v>
      </c>
      <c r="J33" s="43">
        <v>0</v>
      </c>
      <c r="K33" s="43">
        <f t="shared" si="6"/>
        <v>0</v>
      </c>
      <c r="L33" s="43">
        <f t="shared" si="3"/>
        <v>-1242.69417689804</v>
      </c>
      <c r="M33" s="43">
        <f t="shared" si="4"/>
        <v>1242.69417689804</v>
      </c>
      <c r="N33" s="43">
        <f t="shared" si="5"/>
        <v>0</v>
      </c>
      <c r="O33" s="43">
        <f t="shared" si="1"/>
        <v>258.83384766788583</v>
      </c>
      <c r="P33" s="43">
        <f t="shared" si="2"/>
        <v>-983.86032923015421</v>
      </c>
    </row>
    <row r="34" spans="2:16" x14ac:dyDescent="0.3">
      <c r="B34" s="42" t="s">
        <v>41</v>
      </c>
      <c r="C34" s="43">
        <f>SUMIF('Entrada TD'!$E$8:$E$43,'Reliquidación TD'!$B34,'Entrada TD'!F$8:F$43)</f>
        <v>1334873.7</v>
      </c>
      <c r="D34" s="43">
        <f>SUMIF('Entrada TD'!$E$8:$E$43,'Reliquidación TD'!$B34,'Entrada TD'!G$8:G$43)</f>
        <v>10186127.682399999</v>
      </c>
      <c r="E34" s="43">
        <f>SUMIF('Entrada TD'!$E$8:$E$43,'Reliquidación TD'!$B34,'Entrada TD'!H$8:H$43)</f>
        <v>6799</v>
      </c>
      <c r="F34" s="43">
        <f>SUMIF('Entrada TD'!$E$8:$E$43,'Reliquidación TD'!$B34,'Entrada TD'!I$8:I$43)</f>
        <v>28421</v>
      </c>
      <c r="G34" s="43">
        <f>SUMIF('Entrada TD'!$E$8:$E$43,'Reliquidación TD'!$B34,'Entrada TD'!J$8:J$43)</f>
        <v>2002.4275479515261</v>
      </c>
      <c r="H34" s="43">
        <v>0</v>
      </c>
      <c r="I34" s="43">
        <f t="shared" si="0"/>
        <v>0</v>
      </c>
      <c r="J34" s="43">
        <v>0</v>
      </c>
      <c r="K34" s="43">
        <f t="shared" si="6"/>
        <v>0</v>
      </c>
      <c r="L34" s="43">
        <f t="shared" si="3"/>
        <v>2002.4275479515261</v>
      </c>
      <c r="M34" s="43">
        <f t="shared" si="4"/>
        <v>0</v>
      </c>
      <c r="N34" s="43">
        <f t="shared" si="5"/>
        <v>2002.4275479515261</v>
      </c>
      <c r="O34" s="43">
        <f t="shared" si="1"/>
        <v>-2002.4275479515261</v>
      </c>
      <c r="P34" s="43">
        <f t="shared" si="2"/>
        <v>0</v>
      </c>
    </row>
    <row r="35" spans="2:16" x14ac:dyDescent="0.3">
      <c r="B35" s="42" t="s">
        <v>42</v>
      </c>
      <c r="C35" s="43">
        <f>SUMIF('Entrada TD'!$E$8:$E$43,'Reliquidación TD'!$B35,'Entrada TD'!F$8:F$43)</f>
        <v>1944676.7</v>
      </c>
      <c r="D35" s="43">
        <f>SUMIF('Entrada TD'!$E$8:$E$43,'Reliquidación TD'!$B35,'Entrada TD'!G$8:G$43)</f>
        <v>6762805.0692999996</v>
      </c>
      <c r="E35" s="43">
        <f>SUMIF('Entrada TD'!$E$8:$E$43,'Reliquidación TD'!$B35,'Entrada TD'!H$8:H$43)</f>
        <v>321051.90000000002</v>
      </c>
      <c r="F35" s="43">
        <f>SUMIF('Entrada TD'!$E$8:$E$43,'Reliquidación TD'!$B35,'Entrada TD'!I$8:I$43)</f>
        <v>17759.500100000001</v>
      </c>
      <c r="G35" s="43">
        <f>SUMIF('Entrada TD'!$E$8:$E$43,'Reliquidación TD'!$B35,'Entrada TD'!J$8:J$43)</f>
        <v>-16.896760381000259</v>
      </c>
      <c r="H35" s="43">
        <v>0</v>
      </c>
      <c r="I35" s="43">
        <f t="shared" si="0"/>
        <v>0</v>
      </c>
      <c r="J35" s="43">
        <v>0</v>
      </c>
      <c r="K35" s="43">
        <f t="shared" si="6"/>
        <v>0</v>
      </c>
      <c r="L35" s="43">
        <f t="shared" si="3"/>
        <v>-16.896760381000259</v>
      </c>
      <c r="M35" s="43">
        <f t="shared" si="4"/>
        <v>16.896760381000259</v>
      </c>
      <c r="N35" s="43">
        <f t="shared" si="5"/>
        <v>0</v>
      </c>
      <c r="O35" s="43">
        <f t="shared" si="1"/>
        <v>3.519332096214868</v>
      </c>
      <c r="P35" s="43">
        <f t="shared" si="2"/>
        <v>-13.377428284785392</v>
      </c>
    </row>
    <row r="36" spans="2:16" x14ac:dyDescent="0.3">
      <c r="B36" s="42" t="s">
        <v>43</v>
      </c>
      <c r="C36" s="43">
        <f>SUMIF('Entrada TD'!$E$8:$E$43,'Reliquidación TD'!$B36,'Entrada TD'!F$8:F$43)</f>
        <v>1579257.0001000001</v>
      </c>
      <c r="D36" s="43">
        <f>SUMIF('Entrada TD'!$E$8:$E$43,'Reliquidación TD'!$B36,'Entrada TD'!G$8:G$43)</f>
        <v>4465484.6717999997</v>
      </c>
      <c r="E36" s="43">
        <f>SUMIF('Entrada TD'!$E$8:$E$43,'Reliquidación TD'!$B36,'Entrada TD'!H$8:H$43)</f>
        <v>452815</v>
      </c>
      <c r="F36" s="43">
        <f>SUMIF('Entrada TD'!$E$8:$E$43,'Reliquidación TD'!$B36,'Entrada TD'!I$8:I$43)</f>
        <v>41824</v>
      </c>
      <c r="G36" s="43">
        <f>SUMIF('Entrada TD'!$E$8:$E$43,'Reliquidación TD'!$B36,'Entrada TD'!J$8:J$43)</f>
        <v>15920.450369537029</v>
      </c>
      <c r="H36" s="43">
        <v>0</v>
      </c>
      <c r="I36" s="43">
        <f t="shared" si="0"/>
        <v>0</v>
      </c>
      <c r="J36" s="43">
        <v>0</v>
      </c>
      <c r="K36" s="43">
        <f t="shared" si="6"/>
        <v>0</v>
      </c>
      <c r="L36" s="43">
        <f t="shared" si="3"/>
        <v>15920.450369537029</v>
      </c>
      <c r="M36" s="43">
        <f t="shared" si="4"/>
        <v>0</v>
      </c>
      <c r="N36" s="43">
        <f t="shared" si="5"/>
        <v>15920.450369537029</v>
      </c>
      <c r="O36" s="43">
        <f t="shared" si="1"/>
        <v>-15920.450369537031</v>
      </c>
      <c r="P36" s="43">
        <f t="shared" si="2"/>
        <v>0</v>
      </c>
    </row>
    <row r="37" spans="2:16" x14ac:dyDescent="0.3">
      <c r="B37" s="42" t="s">
        <v>45</v>
      </c>
      <c r="C37" s="43">
        <f>SUMIF('Entrada TD'!$E$8:$E$43,'Reliquidación TD'!$B37,'Entrada TD'!F$8:F$43)</f>
        <v>476010</v>
      </c>
      <c r="D37" s="43">
        <f>SUMIF('Entrada TD'!$E$8:$E$43,'Reliquidación TD'!$B37,'Entrada TD'!G$8:G$43)</f>
        <v>960144</v>
      </c>
      <c r="E37" s="43">
        <f>SUMIF('Entrada TD'!$E$8:$E$43,'Reliquidación TD'!$B37,'Entrada TD'!H$8:H$43)</f>
        <v>29248</v>
      </c>
      <c r="F37" s="43">
        <f>SUMIF('Entrada TD'!$E$8:$E$43,'Reliquidación TD'!$B37,'Entrada TD'!I$8:I$43)</f>
        <v>7810.9999999999991</v>
      </c>
      <c r="G37" s="43">
        <f>SUMIF('Entrada TD'!$E$8:$E$43,'Reliquidación TD'!$B37,'Entrada TD'!J$8:J$43)</f>
        <v>0</v>
      </c>
      <c r="H37" s="43">
        <v>0</v>
      </c>
      <c r="I37" s="43">
        <f t="shared" si="0"/>
        <v>0</v>
      </c>
      <c r="J37" s="43">
        <v>0</v>
      </c>
      <c r="K37" s="43">
        <f t="shared" si="6"/>
        <v>0</v>
      </c>
      <c r="L37" s="43">
        <f t="shared" si="3"/>
        <v>0</v>
      </c>
      <c r="M37" s="43">
        <f t="shared" si="4"/>
        <v>0</v>
      </c>
      <c r="N37" s="43">
        <f t="shared" si="5"/>
        <v>0</v>
      </c>
      <c r="O37" s="43">
        <f t="shared" si="1"/>
        <v>0</v>
      </c>
      <c r="P37" s="43">
        <f t="shared" si="2"/>
        <v>0</v>
      </c>
    </row>
    <row r="38" spans="2:16" x14ac:dyDescent="0.3">
      <c r="B38" s="42" t="s">
        <v>46</v>
      </c>
      <c r="C38" s="43">
        <f>SUMIF('Entrada TD'!$E$8:$E$43,'Reliquidación TD'!$B38,'Entrada TD'!F$8:F$43)</f>
        <v>4606619.6179999998</v>
      </c>
      <c r="D38" s="43">
        <f>SUMIF('Entrada TD'!$E$8:$E$43,'Reliquidación TD'!$B38,'Entrada TD'!G$8:G$43)</f>
        <v>17085954.833999999</v>
      </c>
      <c r="E38" s="43">
        <f>SUMIF('Entrada TD'!$E$8:$E$43,'Reliquidación TD'!$B38,'Entrada TD'!H$8:H$43)</f>
        <v>20098.5</v>
      </c>
      <c r="F38" s="43">
        <f>SUMIF('Entrada TD'!$E$8:$E$43,'Reliquidación TD'!$B38,'Entrada TD'!I$8:I$43)</f>
        <v>26831.017</v>
      </c>
      <c r="G38" s="43">
        <f>SUMIF('Entrada TD'!$E$8:$E$43,'Reliquidación TD'!$B38,'Entrada TD'!J$8:J$43)</f>
        <v>-4804.4430992150674</v>
      </c>
      <c r="H38" s="43">
        <v>0</v>
      </c>
      <c r="I38" s="43">
        <f t="shared" si="0"/>
        <v>0</v>
      </c>
      <c r="J38" s="43">
        <v>0</v>
      </c>
      <c r="K38" s="43">
        <f t="shared" si="6"/>
        <v>0</v>
      </c>
      <c r="L38" s="43">
        <f t="shared" si="3"/>
        <v>-4804.4430992150674</v>
      </c>
      <c r="M38" s="43">
        <f>IF(L38&lt;0,-L38,0)</f>
        <v>4804.4430992150674</v>
      </c>
      <c r="N38" s="43">
        <f>IF(L38&gt;0,L38,0)</f>
        <v>0</v>
      </c>
      <c r="O38" s="43">
        <f t="shared" si="1"/>
        <v>1000.6906899454219</v>
      </c>
      <c r="P38" s="43">
        <f t="shared" si="2"/>
        <v>-3803.7524092696453</v>
      </c>
    </row>
    <row r="39" spans="2:16" x14ac:dyDescent="0.3">
      <c r="B39" s="42" t="s">
        <v>47</v>
      </c>
      <c r="C39" s="43">
        <f>SUMIF('Entrada TD'!$E$8:$E$43,'Reliquidación TD'!$B39,'Entrada TD'!F$8:F$43)</f>
        <v>6151912.9299999997</v>
      </c>
      <c r="D39" s="43">
        <f>SUMIF('Entrada TD'!$E$8:$E$43,'Reliquidación TD'!$B39,'Entrada TD'!G$8:G$43)</f>
        <v>27401454.534000002</v>
      </c>
      <c r="E39" s="43">
        <f>SUMIF('Entrada TD'!$E$8:$E$43,'Reliquidación TD'!$B39,'Entrada TD'!H$8:H$43)</f>
        <v>26322.780999999999</v>
      </c>
      <c r="F39" s="43">
        <f>SUMIF('Entrada TD'!$E$8:$E$43,'Reliquidación TD'!$B39,'Entrada TD'!I$8:I$43)</f>
        <v>13555.007</v>
      </c>
      <c r="G39" s="43">
        <f>SUMIF('Entrada TD'!$E$8:$E$43,'Reliquidación TD'!$B39,'Entrada TD'!J$8:J$43)</f>
        <v>71907.203995145115</v>
      </c>
      <c r="H39" s="43">
        <v>0</v>
      </c>
      <c r="I39" s="43">
        <f t="shared" si="0"/>
        <v>0</v>
      </c>
      <c r="J39" s="43">
        <v>0</v>
      </c>
      <c r="K39" s="43">
        <f t="shared" si="6"/>
        <v>0</v>
      </c>
      <c r="L39" s="43">
        <f t="shared" si="3"/>
        <v>71907.203995145115</v>
      </c>
      <c r="M39" s="43">
        <f t="shared" si="4"/>
        <v>0</v>
      </c>
      <c r="N39" s="43">
        <f t="shared" si="5"/>
        <v>71907.203995145115</v>
      </c>
      <c r="O39" s="43">
        <f t="shared" si="1"/>
        <v>-71907.203995145115</v>
      </c>
      <c r="P39" s="43">
        <f t="shared" si="2"/>
        <v>0</v>
      </c>
    </row>
    <row r="40" spans="2:16" x14ac:dyDescent="0.3">
      <c r="B40" s="42" t="s">
        <v>48</v>
      </c>
      <c r="C40" s="43">
        <f>SUMIF('Entrada TD'!$E$8:$E$43,'Reliquidación TD'!$B40,'Entrada TD'!F$8:F$43)</f>
        <v>15361392.927999999</v>
      </c>
      <c r="D40" s="43">
        <f>SUMIF('Entrada TD'!$E$8:$E$43,'Reliquidación TD'!$B40,'Entrada TD'!G$8:G$43)</f>
        <v>53882088.978</v>
      </c>
      <c r="E40" s="43">
        <f>SUMIF('Entrada TD'!$E$8:$E$43,'Reliquidación TD'!$B40,'Entrada TD'!H$8:H$43)</f>
        <v>52005.78</v>
      </c>
      <c r="F40" s="43">
        <f>SUMIF('Entrada TD'!$E$8:$E$43,'Reliquidación TD'!$B40,'Entrada TD'!I$8:I$43)</f>
        <v>42190.247000000003</v>
      </c>
      <c r="G40" s="43">
        <f>SUMIF('Entrada TD'!$E$8:$E$43,'Reliquidación TD'!$B40,'Entrada TD'!J$8:J$43)</f>
        <v>-57880.447511701539</v>
      </c>
      <c r="H40" s="43">
        <v>0</v>
      </c>
      <c r="I40" s="43">
        <f t="shared" si="0"/>
        <v>0</v>
      </c>
      <c r="J40" s="43">
        <v>0</v>
      </c>
      <c r="K40" s="43">
        <f t="shared" si="6"/>
        <v>0</v>
      </c>
      <c r="L40" s="43">
        <f t="shared" si="3"/>
        <v>-57880.447511701539</v>
      </c>
      <c r="M40" s="43">
        <f t="shared" si="4"/>
        <v>57880.447511701539</v>
      </c>
      <c r="N40" s="43">
        <f t="shared" si="5"/>
        <v>0</v>
      </c>
      <c r="O40" s="43">
        <f t="shared" si="1"/>
        <v>12055.595988699964</v>
      </c>
      <c r="P40" s="43">
        <f t="shared" si="2"/>
        <v>-45824.851523001576</v>
      </c>
    </row>
    <row r="41" spans="2:16" x14ac:dyDescent="0.3">
      <c r="B41" s="42" t="s">
        <v>49</v>
      </c>
      <c r="C41" s="43">
        <f>SUMIF('Entrada TD'!$E$8:$E$43,'Reliquidación TD'!$B41,'Entrada TD'!F$8:F$43)</f>
        <v>0</v>
      </c>
      <c r="D41" s="43">
        <f>SUMIF('Entrada TD'!$E$8:$E$43,'Reliquidación TD'!$B41,'Entrada TD'!G$8:G$43)</f>
        <v>0</v>
      </c>
      <c r="E41" s="43">
        <f>SUMIF('Entrada TD'!$E$8:$E$43,'Reliquidación TD'!$B41,'Entrada TD'!H$8:H$43)</f>
        <v>0</v>
      </c>
      <c r="F41" s="43">
        <f>SUMIF('Entrada TD'!$E$8:$E$43,'Reliquidación TD'!$B41,'Entrada TD'!I$8:I$43)</f>
        <v>0</v>
      </c>
      <c r="G41" s="43">
        <f>SUMIF('Entrada TD'!$E$8:$E$43,'Reliquidación TD'!$B41,'Entrada TD'!J$8:J$43)</f>
        <v>0</v>
      </c>
      <c r="H41" s="43">
        <v>0</v>
      </c>
      <c r="I41" s="43">
        <f t="shared" si="0"/>
        <v>0</v>
      </c>
      <c r="J41" s="43">
        <v>0</v>
      </c>
      <c r="K41" s="43">
        <f t="shared" si="6"/>
        <v>0</v>
      </c>
      <c r="L41" s="43">
        <f t="shared" si="3"/>
        <v>0</v>
      </c>
      <c r="M41" s="43">
        <f>IF(L41&lt;0,-L41,0)</f>
        <v>0</v>
      </c>
      <c r="N41" s="43">
        <f>IF(L41&gt;0,L41,0)</f>
        <v>0</v>
      </c>
      <c r="O41" s="43">
        <f t="shared" si="1"/>
        <v>0</v>
      </c>
      <c r="P41" s="43">
        <f>L41+O41</f>
        <v>0</v>
      </c>
    </row>
    <row r="42" spans="2:16" x14ac:dyDescent="0.3">
      <c r="B42" s="42" t="s">
        <v>50</v>
      </c>
      <c r="C42" s="43">
        <f>SUMIF('Entrada TD'!$E$8:$E$43,'Reliquidación TD'!$B42,'Entrada TD'!F$8:F$43)</f>
        <v>0</v>
      </c>
      <c r="D42" s="43">
        <f>SUMIF('Entrada TD'!$E$8:$E$43,'Reliquidación TD'!$B42,'Entrada TD'!G$8:G$43)</f>
        <v>14866</v>
      </c>
      <c r="E42" s="43">
        <f>SUMIF('Entrada TD'!$E$8:$E$43,'Reliquidación TD'!$B42,'Entrada TD'!H$8:H$43)</f>
        <v>0</v>
      </c>
      <c r="F42" s="43">
        <f>SUMIF('Entrada TD'!$E$8:$E$43,'Reliquidación TD'!$B42,'Entrada TD'!I$8:I$43)</f>
        <v>0</v>
      </c>
      <c r="G42" s="43">
        <f>SUMIF('Entrada TD'!$E$8:$E$43,'Reliquidación TD'!$B42,'Entrada TD'!J$8:J$43)</f>
        <v>0</v>
      </c>
      <c r="H42" s="43">
        <v>0</v>
      </c>
      <c r="I42" s="43">
        <f t="shared" si="0"/>
        <v>0</v>
      </c>
      <c r="J42" s="43">
        <v>0</v>
      </c>
      <c r="K42" s="43">
        <f t="shared" si="6"/>
        <v>0</v>
      </c>
      <c r="L42" s="43">
        <f t="shared" si="3"/>
        <v>0</v>
      </c>
      <c r="M42" s="43">
        <f>IF(L42&lt;0,-L42,0)</f>
        <v>0</v>
      </c>
      <c r="N42" s="43">
        <f>IF(L42&gt;0,L42,0)</f>
        <v>0</v>
      </c>
      <c r="O42" s="43">
        <f t="shared" si="1"/>
        <v>0</v>
      </c>
      <c r="P42" s="43">
        <f>L42+O42</f>
        <v>0</v>
      </c>
    </row>
    <row r="43" spans="2:16" x14ac:dyDescent="0.3">
      <c r="B43" s="44" t="s">
        <v>51</v>
      </c>
      <c r="C43" s="45">
        <f>SUMIF('Entrada TD'!$E$8:$E$43,'Reliquidación TD'!$B43,'Entrada TD'!F$8:F$43)</f>
        <v>32785.800000000003</v>
      </c>
      <c r="D43" s="45">
        <f>SUMIF('Entrada TD'!$E$8:$E$43,'Reliquidación TD'!$B43,'Entrada TD'!G$8:G$43)</f>
        <v>63849.4</v>
      </c>
      <c r="E43" s="45">
        <f>SUMIF('Entrada TD'!$E$8:$E$43,'Reliquidación TD'!$B43,'Entrada TD'!H$8:H$43)</f>
        <v>0</v>
      </c>
      <c r="F43" s="45">
        <f>SUMIF('Entrada TD'!$E$8:$E$43,'Reliquidación TD'!$B43,'Entrada TD'!I$8:I$43)</f>
        <v>0</v>
      </c>
      <c r="G43" s="45">
        <f>SUMIF('Entrada TD'!$E$8:$E$43,'Reliquidación TD'!$B43,'Entrada TD'!J$8:J$43)</f>
        <v>0</v>
      </c>
      <c r="H43" s="45">
        <v>0</v>
      </c>
      <c r="I43" s="45">
        <f t="shared" si="0"/>
        <v>0</v>
      </c>
      <c r="J43" s="45">
        <v>0</v>
      </c>
      <c r="K43" s="45">
        <f t="shared" si="6"/>
        <v>0</v>
      </c>
      <c r="L43" s="45">
        <f t="shared" si="3"/>
        <v>0</v>
      </c>
      <c r="M43" s="45">
        <f t="shared" si="4"/>
        <v>0</v>
      </c>
      <c r="N43" s="45">
        <f t="shared" si="5"/>
        <v>0</v>
      </c>
      <c r="O43" s="45">
        <f t="shared" si="1"/>
        <v>0</v>
      </c>
      <c r="P43" s="45">
        <f t="shared" si="2"/>
        <v>0</v>
      </c>
    </row>
    <row r="44" spans="2:16" x14ac:dyDescent="0.3">
      <c r="B44" s="46" t="s">
        <v>66</v>
      </c>
      <c r="C44" s="16">
        <f t="shared" ref="C44:P44" si="7">SUM(C9:C43)</f>
        <v>437574210.52950925</v>
      </c>
      <c r="D44" s="47">
        <f t="shared" si="7"/>
        <v>1798945383.7520473</v>
      </c>
      <c r="E44" s="48">
        <f t="shared" si="7"/>
        <v>11167198.16</v>
      </c>
      <c r="F44" s="48">
        <f t="shared" si="7"/>
        <v>2968546.9511000002</v>
      </c>
      <c r="G44" s="48">
        <f t="shared" si="7"/>
        <v>-3775041.0885859709</v>
      </c>
      <c r="H44" s="48">
        <f t="shared" si="7"/>
        <v>0</v>
      </c>
      <c r="I44" s="48">
        <f t="shared" si="7"/>
        <v>0</v>
      </c>
      <c r="J44" s="48">
        <f t="shared" si="7"/>
        <v>0</v>
      </c>
      <c r="K44" s="48">
        <f t="shared" si="7"/>
        <v>0</v>
      </c>
      <c r="L44" s="48">
        <f>SUM(L9:L43)</f>
        <v>-3775041.0885859709</v>
      </c>
      <c r="M44" s="48">
        <f t="shared" si="7"/>
        <v>4768178.408013856</v>
      </c>
      <c r="N44" s="48">
        <f t="shared" si="7"/>
        <v>993137.31942788442</v>
      </c>
      <c r="O44" s="49">
        <f t="shared" si="7"/>
        <v>1.546140993013978E-10</v>
      </c>
      <c r="P44" s="49">
        <f t="shared" si="7"/>
        <v>-3775041.0885859719</v>
      </c>
    </row>
    <row r="45" spans="2:16" x14ac:dyDescent="0.3">
      <c r="B45" s="50"/>
      <c r="C45"/>
      <c r="D45"/>
      <c r="E45"/>
      <c r="F45"/>
      <c r="G45"/>
      <c r="H45"/>
      <c r="I45"/>
      <c r="J45"/>
      <c r="K45"/>
      <c r="L45"/>
      <c r="M45" s="51"/>
      <c r="N45" s="51"/>
      <c r="O45"/>
    </row>
    <row r="46" spans="2:16" x14ac:dyDescent="0.3"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2:16" x14ac:dyDescent="0.3">
      <c r="B47"/>
      <c r="C47"/>
      <c r="H47" s="52"/>
      <c r="I47" s="17"/>
      <c r="J47" s="17"/>
      <c r="K47" s="17"/>
      <c r="L47" s="17"/>
      <c r="M47" s="7" t="s">
        <v>67</v>
      </c>
      <c r="N47" s="53">
        <f>N44</f>
        <v>993137.31942788442</v>
      </c>
      <c r="O47"/>
    </row>
    <row r="48" spans="2:16" x14ac:dyDescent="0.3">
      <c r="B48"/>
      <c r="C48"/>
      <c r="H48" s="52"/>
      <c r="I48" s="17"/>
      <c r="J48" s="17"/>
      <c r="K48" s="17"/>
      <c r="L48" s="17"/>
      <c r="M48" s="7" t="s">
        <v>68</v>
      </c>
      <c r="N48" s="53">
        <f>M44</f>
        <v>4768178.408013856</v>
      </c>
      <c r="O48"/>
      <c r="P48" s="54"/>
    </row>
    <row r="49" spans="2:16" x14ac:dyDescent="0.3">
      <c r="B49"/>
      <c r="C49"/>
      <c r="H49" s="52"/>
      <c r="I49"/>
      <c r="J49"/>
      <c r="K49"/>
      <c r="L49"/>
      <c r="M49" s="7" t="s">
        <v>69</v>
      </c>
      <c r="N49" s="53">
        <f>+IF(N48&lt;N47,N48,N47)</f>
        <v>993137.31942788442</v>
      </c>
      <c r="O49"/>
      <c r="P49" s="54"/>
    </row>
    <row r="50" spans="2:16" x14ac:dyDescent="0.3">
      <c r="M50" s="17"/>
      <c r="N50"/>
    </row>
    <row r="51" spans="2:16" x14ac:dyDescent="0.3">
      <c r="D51" s="55"/>
      <c r="G51" s="54"/>
    </row>
    <row r="52" spans="2:16" x14ac:dyDescent="0.3">
      <c r="D52" s="55"/>
    </row>
    <row r="53" spans="2:16" x14ac:dyDescent="0.3">
      <c r="D53" s="55"/>
    </row>
  </sheetData>
  <dataConsolidate/>
  <mergeCells count="15">
    <mergeCell ref="N6:N7"/>
    <mergeCell ref="O6:O7"/>
    <mergeCell ref="P6:P7"/>
    <mergeCell ref="H6:H7"/>
    <mergeCell ref="I6:I7"/>
    <mergeCell ref="J6:J7"/>
    <mergeCell ref="K6:K7"/>
    <mergeCell ref="L6:L7"/>
    <mergeCell ref="M6:M7"/>
    <mergeCell ref="B6:B8"/>
    <mergeCell ref="C6:C7"/>
    <mergeCell ref="D6:D7"/>
    <mergeCell ref="E6:E7"/>
    <mergeCell ref="F6:F7"/>
    <mergeCell ref="G6:G7"/>
  </mergeCells>
  <pageMargins left="0.75" right="0.75" top="1" bottom="1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A7659-F89A-4512-A008-22CFA2DAEDAC}">
  <sheetPr codeName="Hoja6">
    <tabColor theme="8" tint="0.59999389629810485"/>
  </sheetPr>
  <dimension ref="B2:S114"/>
  <sheetViews>
    <sheetView showGridLines="0" zoomScale="85" zoomScaleNormal="85" workbookViewId="0">
      <selection activeCell="H6" sqref="H6:H7"/>
    </sheetView>
  </sheetViews>
  <sheetFormatPr baseColWidth="10" defaultColWidth="11.3984375" defaultRowHeight="13" x14ac:dyDescent="0.3"/>
  <cols>
    <col min="1" max="1" width="6.3984375" style="20" customWidth="1"/>
    <col min="2" max="2" width="22.69921875" style="20" customWidth="1"/>
    <col min="3" max="3" width="11.59765625" style="20" bestFit="1" customWidth="1"/>
    <col min="4" max="4" width="13.09765625" style="20" bestFit="1" customWidth="1"/>
    <col min="5" max="5" width="12.09765625" style="20" customWidth="1"/>
    <col min="6" max="6" width="12.69921875" style="20" customWidth="1"/>
    <col min="7" max="7" width="13.59765625" style="20" bestFit="1" customWidth="1"/>
    <col min="8" max="8" width="15" style="20" customWidth="1"/>
    <col min="9" max="9" width="13.296875" style="20" customWidth="1"/>
    <col min="10" max="10" width="8" style="20" customWidth="1"/>
    <col min="11" max="11" width="11.09765625" style="20" customWidth="1"/>
    <col min="12" max="12" width="16.09765625" style="20" customWidth="1"/>
    <col min="13" max="13" width="13.59765625" style="20" bestFit="1" customWidth="1"/>
    <col min="14" max="15" width="13.09765625" style="20" bestFit="1" customWidth="1"/>
    <col min="16" max="16" width="16.296875" style="20" customWidth="1"/>
    <col min="17" max="18" width="13.296875" style="20" customWidth="1"/>
    <col min="19" max="19" width="14.69921875" style="20" customWidth="1"/>
    <col min="20" max="20" width="16.8984375" style="20" customWidth="1"/>
    <col min="21" max="16384" width="11.3984375" style="20"/>
  </cols>
  <sheetData>
    <row r="2" spans="2:19" x14ac:dyDescent="0.3">
      <c r="B2" s="19" t="s">
        <v>70</v>
      </c>
      <c r="C2" s="19"/>
      <c r="D2" s="19"/>
    </row>
    <row r="3" spans="2:19" x14ac:dyDescent="0.3">
      <c r="B3" s="21">
        <f>FechaFacturacion</f>
        <v>45839</v>
      </c>
      <c r="C3" s="22"/>
      <c r="D3" s="22"/>
      <c r="I3" s="23" t="s">
        <v>57</v>
      </c>
      <c r="J3" s="24"/>
      <c r="K3" s="24"/>
      <c r="L3" s="24"/>
    </row>
    <row r="4" spans="2:19" x14ac:dyDescent="0.3">
      <c r="B4" s="25"/>
      <c r="D4" s="22"/>
      <c r="I4" s="26">
        <f>'Reliquidación TD'!$I$4</f>
        <v>8.7295690936106674E-3</v>
      </c>
      <c r="J4" s="27"/>
      <c r="K4" s="27"/>
      <c r="L4" s="27"/>
      <c r="M4" s="56"/>
    </row>
    <row r="5" spans="2:19" x14ac:dyDescent="0.3">
      <c r="J5" s="57"/>
      <c r="K5" s="57"/>
      <c r="L5" s="57"/>
    </row>
    <row r="6" spans="2:19" ht="12.75" customHeight="1" x14ac:dyDescent="0.3">
      <c r="B6" s="29" t="s">
        <v>6</v>
      </c>
      <c r="C6" s="29" t="s">
        <v>7</v>
      </c>
      <c r="D6" s="29" t="s">
        <v>8</v>
      </c>
      <c r="E6" s="29" t="s">
        <v>9</v>
      </c>
      <c r="F6" s="29" t="s">
        <v>10</v>
      </c>
      <c r="G6" s="29" t="s">
        <v>11</v>
      </c>
      <c r="H6" s="29" t="str">
        <f>"Saldo "&amp;TEXT(B3-1,"mmmmmmmmmm")</f>
        <v>Saldo junio</v>
      </c>
      <c r="I6" s="29" t="s">
        <v>58</v>
      </c>
      <c r="J6" s="29" t="s">
        <v>59</v>
      </c>
      <c r="K6" s="29" t="s">
        <v>60</v>
      </c>
      <c r="L6" s="29" t="str">
        <f>CONCATENATE("Transferencias TD ", TEXT(FechaFacturacion, "mmmm yyyy"))</f>
        <v>Transferencias TD julio 2025</v>
      </c>
      <c r="M6" s="30" t="s">
        <v>11</v>
      </c>
      <c r="N6" s="29" t="s">
        <v>71</v>
      </c>
      <c r="O6" s="31" t="s">
        <v>72</v>
      </c>
      <c r="P6" s="29" t="s">
        <v>64</v>
      </c>
      <c r="Q6" s="29" t="s">
        <v>65</v>
      </c>
      <c r="R6" s="29" t="s">
        <v>73</v>
      </c>
      <c r="S6" s="29" t="s">
        <v>74</v>
      </c>
    </row>
    <row r="7" spans="2:19" ht="12.75" customHeight="1" x14ac:dyDescent="0.3">
      <c r="B7" s="33"/>
      <c r="C7" s="34"/>
      <c r="D7" s="34"/>
      <c r="E7" s="34"/>
      <c r="F7" s="34"/>
      <c r="G7" s="34"/>
      <c r="H7" s="35"/>
      <c r="I7" s="34"/>
      <c r="J7" s="34"/>
      <c r="K7" s="34"/>
      <c r="L7" s="34"/>
      <c r="M7" s="30"/>
      <c r="N7" s="34"/>
      <c r="O7" s="36"/>
      <c r="P7" s="34"/>
      <c r="Q7" s="34"/>
      <c r="R7" s="34"/>
      <c r="S7" s="34"/>
    </row>
    <row r="8" spans="2:19" ht="13.5" customHeight="1" x14ac:dyDescent="0.3">
      <c r="B8" s="33"/>
      <c r="C8" s="37" t="s">
        <v>12</v>
      </c>
      <c r="D8" s="37" t="s">
        <v>12</v>
      </c>
      <c r="E8" s="37" t="s">
        <v>12</v>
      </c>
      <c r="F8" s="37" t="s">
        <v>12</v>
      </c>
      <c r="G8" s="37" t="s">
        <v>13</v>
      </c>
      <c r="H8" s="37" t="s">
        <v>13</v>
      </c>
      <c r="I8" s="37" t="s">
        <v>13</v>
      </c>
      <c r="J8" s="37" t="s">
        <v>13</v>
      </c>
      <c r="K8" s="37" t="s">
        <v>13</v>
      </c>
      <c r="L8" s="37" t="s">
        <v>13</v>
      </c>
      <c r="M8" s="37" t="s">
        <v>13</v>
      </c>
      <c r="N8" s="37" t="s">
        <v>13</v>
      </c>
      <c r="O8" s="38" t="s">
        <v>13</v>
      </c>
      <c r="P8" s="39" t="s">
        <v>13</v>
      </c>
      <c r="Q8" s="39" t="s">
        <v>13</v>
      </c>
      <c r="R8" s="39" t="s">
        <v>13</v>
      </c>
      <c r="S8" s="39" t="s">
        <v>13</v>
      </c>
    </row>
    <row r="9" spans="2:19" x14ac:dyDescent="0.3">
      <c r="B9" s="40" t="s">
        <v>14</v>
      </c>
      <c r="C9" s="41">
        <f>SUMIF('Entrada AR'!$E$8:$E$43,'Reliquidación AR'!$B9,'Entrada AR'!F$8:F$43)</f>
        <v>1585091</v>
      </c>
      <c r="D9" s="41">
        <f>SUMIF('Entrada AR'!$E$8:$E$43,'Reliquidación AR'!$B9,'Entrada AR'!G$8:G$43)</f>
        <v>3507003</v>
      </c>
      <c r="E9" s="41">
        <f>SUMIF('Entrada AR'!$E$8:$E$43,'Reliquidación AR'!$B9,'Entrada AR'!H$8:H$43)</f>
        <v>126789</v>
      </c>
      <c r="F9" s="41">
        <f>SUMIF('Entrada AR'!$E$8:$E$43,'Reliquidación AR'!$B9,'Entrada AR'!I$8:I$43)</f>
        <v>18748</v>
      </c>
      <c r="G9" s="41">
        <f>SUMIF('Entrada AR'!$E$8:$E$43,'Reliquidación AR'!$B9,'Entrada AR'!J$8:J$43)</f>
        <v>-23194427.49647909</v>
      </c>
      <c r="H9" s="41">
        <v>0</v>
      </c>
      <c r="I9" s="41">
        <f>H9*($I$4+1)</f>
        <v>0</v>
      </c>
      <c r="J9" s="41">
        <v>0</v>
      </c>
      <c r="K9" s="41">
        <f>+J9*($I$4+1)</f>
        <v>0</v>
      </c>
      <c r="L9" s="41">
        <f>+'Reliquidación TD'!O9</f>
        <v>0</v>
      </c>
      <c r="M9" s="41">
        <f t="shared" ref="M9:M43" si="0">G9+I9+K9</f>
        <v>-23194427.49647909</v>
      </c>
      <c r="N9" s="41">
        <f>IF(M9&lt;0,-M9,0)</f>
        <v>23194427.49647909</v>
      </c>
      <c r="O9" s="41">
        <f>IF(M9&gt;0,M9,0)</f>
        <v>0</v>
      </c>
      <c r="P9" s="41">
        <f t="shared" ref="P9:P42" si="1">IF(OR($N$44=0,$O$44=0),0,(N9/$N$44-O9/$O$44)*$O$49)</f>
        <v>23194427.49647909</v>
      </c>
      <c r="Q9" s="41">
        <f>M9+P9</f>
        <v>0</v>
      </c>
      <c r="R9" s="41">
        <v>0</v>
      </c>
      <c r="S9" s="41">
        <f>+Q9+R9</f>
        <v>0</v>
      </c>
    </row>
    <row r="10" spans="2:19" x14ac:dyDescent="0.3">
      <c r="B10" s="42" t="s">
        <v>15</v>
      </c>
      <c r="C10" s="43">
        <f>SUMIF('Entrada AR'!$E$8:$E$43,'Reliquidación AR'!$B10,'Entrada AR'!F$8:F$43)</f>
        <v>797826</v>
      </c>
      <c r="D10" s="43">
        <f>SUMIF('Entrada AR'!$E$8:$E$43,'Reliquidación AR'!$B10,'Entrada AR'!G$8:G$43)</f>
        <v>3181304</v>
      </c>
      <c r="E10" s="43">
        <f>SUMIF('Entrada AR'!$E$8:$E$43,'Reliquidación AR'!$B10,'Entrada AR'!H$8:H$43)</f>
        <v>331</v>
      </c>
      <c r="F10" s="43">
        <f>SUMIF('Entrada AR'!$E$8:$E$43,'Reliquidación AR'!$B10,'Entrada AR'!I$8:I$43)</f>
        <v>22611</v>
      </c>
      <c r="G10" s="43">
        <f>SUMIF('Entrada AR'!$E$8:$E$43,'Reliquidación AR'!$B10,'Entrada AR'!J$8:J$43)</f>
        <v>-25690610.009841699</v>
      </c>
      <c r="H10" s="43">
        <v>0</v>
      </c>
      <c r="I10" s="43">
        <f t="shared" ref="I10:I40" si="2">H10*($I$4+1)</f>
        <v>0</v>
      </c>
      <c r="J10" s="43">
        <v>0</v>
      </c>
      <c r="K10" s="43">
        <f t="shared" ref="K10:K43" si="3">+J10*($I$4+1)</f>
        <v>0</v>
      </c>
      <c r="L10" s="43">
        <f>+'Reliquidación TD'!O10</f>
        <v>0</v>
      </c>
      <c r="M10" s="43">
        <f t="shared" si="0"/>
        <v>-25690610.009841699</v>
      </c>
      <c r="N10" s="43">
        <f t="shared" ref="N10:N43" si="4">IF(M10&lt;0,-M10,0)</f>
        <v>25690610.009841699</v>
      </c>
      <c r="O10" s="43">
        <f t="shared" ref="O10:O43" si="5">IF(M10&gt;0,M10,0)</f>
        <v>0</v>
      </c>
      <c r="P10" s="43">
        <f t="shared" si="1"/>
        <v>25690610.009841699</v>
      </c>
      <c r="Q10" s="43">
        <f t="shared" ref="Q10:Q43" si="6">M10+P10</f>
        <v>0</v>
      </c>
      <c r="R10" s="43">
        <v>0</v>
      </c>
      <c r="S10" s="43">
        <f t="shared" ref="S10:S43" si="7">+Q10+R10</f>
        <v>0</v>
      </c>
    </row>
    <row r="11" spans="2:19" x14ac:dyDescent="0.3">
      <c r="B11" s="42" t="s">
        <v>16</v>
      </c>
      <c r="C11" s="43">
        <f>SUMIF('Entrada AR'!$E$8:$E$43,'Reliquidación AR'!$B11,'Entrada AR'!F$8:F$43)</f>
        <v>1450135.2</v>
      </c>
      <c r="D11" s="43">
        <f>SUMIF('Entrada AR'!$E$8:$E$43,'Reliquidación AR'!$B11,'Entrada AR'!G$8:G$43)</f>
        <v>7146435.966</v>
      </c>
      <c r="E11" s="43">
        <f>SUMIF('Entrada AR'!$E$8:$E$43,'Reliquidación AR'!$B11,'Entrada AR'!H$8:H$43)</f>
        <v>0</v>
      </c>
      <c r="F11" s="43">
        <f>SUMIF('Entrada AR'!$E$8:$E$43,'Reliquidación AR'!$B11,'Entrada AR'!I$8:I$43)</f>
        <v>30134.800999999999</v>
      </c>
      <c r="G11" s="43">
        <f>SUMIF('Entrada AR'!$E$8:$E$43,'Reliquidación AR'!$B11,'Entrada AR'!J$8:J$43)</f>
        <v>591350.83713453636</v>
      </c>
      <c r="H11" s="43">
        <v>0</v>
      </c>
      <c r="I11" s="43">
        <f t="shared" si="2"/>
        <v>0</v>
      </c>
      <c r="J11" s="43">
        <v>0</v>
      </c>
      <c r="K11" s="43">
        <f t="shared" si="3"/>
        <v>0</v>
      </c>
      <c r="L11" s="43">
        <f>+'Reliquidación TD'!O11</f>
        <v>0</v>
      </c>
      <c r="M11" s="43">
        <f t="shared" si="0"/>
        <v>591350.83713453636</v>
      </c>
      <c r="N11" s="43">
        <f t="shared" si="4"/>
        <v>0</v>
      </c>
      <c r="O11" s="43">
        <f t="shared" si="5"/>
        <v>591350.83713453636</v>
      </c>
      <c r="P11" s="43">
        <f t="shared" si="1"/>
        <v>-582766.05034713983</v>
      </c>
      <c r="Q11" s="43">
        <f t="shared" si="6"/>
        <v>8584.7867873965297</v>
      </c>
      <c r="R11" s="43">
        <v>0</v>
      </c>
      <c r="S11" s="43">
        <f t="shared" si="7"/>
        <v>8584.7867873965297</v>
      </c>
    </row>
    <row r="12" spans="2:19" x14ac:dyDescent="0.3">
      <c r="B12" s="42" t="s">
        <v>17</v>
      </c>
      <c r="C12" s="43">
        <f>SUMIF('Entrada AR'!$E$8:$E$43,'Reliquidación AR'!$B12,'Entrada AR'!F$8:F$43)</f>
        <v>432958</v>
      </c>
      <c r="D12" s="43">
        <f>SUMIF('Entrada AR'!$E$8:$E$43,'Reliquidación AR'!$B12,'Entrada AR'!G$8:G$43)</f>
        <v>1507192</v>
      </c>
      <c r="E12" s="43">
        <f>SUMIF('Entrada AR'!$E$8:$E$43,'Reliquidación AR'!$B12,'Entrada AR'!H$8:H$43)</f>
        <v>0</v>
      </c>
      <c r="F12" s="43">
        <f>SUMIF('Entrada AR'!$E$8:$E$43,'Reliquidación AR'!$B12,'Entrada AR'!I$8:I$43)</f>
        <v>0</v>
      </c>
      <c r="G12" s="43">
        <f>SUMIF('Entrada AR'!$E$8:$E$43,'Reliquidación AR'!$B12,'Entrada AR'!J$8:J$43)</f>
        <v>-474520.71174357692</v>
      </c>
      <c r="H12" s="43">
        <v>0</v>
      </c>
      <c r="I12" s="43">
        <f t="shared" si="2"/>
        <v>0</v>
      </c>
      <c r="J12" s="43">
        <v>0</v>
      </c>
      <c r="K12" s="43">
        <f t="shared" si="3"/>
        <v>0</v>
      </c>
      <c r="L12" s="43">
        <f>+'Reliquidación TD'!O12</f>
        <v>0</v>
      </c>
      <c r="M12" s="43">
        <f t="shared" si="0"/>
        <v>-474520.71174357692</v>
      </c>
      <c r="N12" s="43">
        <f t="shared" si="4"/>
        <v>474520.71174357692</v>
      </c>
      <c r="O12" s="43">
        <f t="shared" si="5"/>
        <v>0</v>
      </c>
      <c r="P12" s="43">
        <f t="shared" si="1"/>
        <v>474520.71174357692</v>
      </c>
      <c r="Q12" s="43">
        <f t="shared" si="6"/>
        <v>0</v>
      </c>
      <c r="R12" s="43">
        <v>0</v>
      </c>
      <c r="S12" s="43">
        <f t="shared" si="7"/>
        <v>0</v>
      </c>
    </row>
    <row r="13" spans="2:19" x14ac:dyDescent="0.3">
      <c r="B13" s="42" t="s">
        <v>18</v>
      </c>
      <c r="C13" s="43">
        <f>SUMIF('Entrada AR'!$E$8:$E$43,'Reliquidación AR'!$B13,'Entrada AR'!F$8:F$43)</f>
        <v>140039720.21649611</v>
      </c>
      <c r="D13" s="43">
        <f>SUMIF('Entrada AR'!$E$8:$E$43,'Reliquidación AR'!$B13,'Entrada AR'!G$8:G$43)</f>
        <v>529892016.51421052</v>
      </c>
      <c r="E13" s="43">
        <f>SUMIF('Entrada AR'!$E$8:$E$43,'Reliquidación AR'!$B13,'Entrada AR'!H$8:H$43)</f>
        <v>4485187.2450000001</v>
      </c>
      <c r="F13" s="43">
        <f>SUMIF('Entrada AR'!$E$8:$E$43,'Reliquidación AR'!$B13,'Entrada AR'!I$8:I$43)</f>
        <v>656771.76399999997</v>
      </c>
      <c r="G13" s="43">
        <f>SUMIF('Entrada AR'!$E$8:$E$43,'Reliquidación AR'!$B13,'Entrada AR'!J$8:J$43)</f>
        <v>21714927.45343883</v>
      </c>
      <c r="H13" s="43">
        <v>0</v>
      </c>
      <c r="I13" s="43">
        <f t="shared" si="2"/>
        <v>0</v>
      </c>
      <c r="J13" s="43">
        <v>0</v>
      </c>
      <c r="K13" s="43">
        <f t="shared" si="3"/>
        <v>0</v>
      </c>
      <c r="L13" s="43">
        <f>+'Reliquidación TD'!O13</f>
        <v>978889.86648041767</v>
      </c>
      <c r="M13" s="43">
        <f t="shared" si="0"/>
        <v>21714927.45343883</v>
      </c>
      <c r="N13" s="43">
        <f t="shared" si="4"/>
        <v>0</v>
      </c>
      <c r="O13" s="43">
        <f t="shared" si="5"/>
        <v>21714927.45343883</v>
      </c>
      <c r="P13" s="43">
        <f t="shared" si="1"/>
        <v>-21399686.465204388</v>
      </c>
      <c r="Q13" s="43">
        <f t="shared" si="6"/>
        <v>315240.98823444173</v>
      </c>
      <c r="R13" s="43">
        <v>0</v>
      </c>
      <c r="S13" s="43">
        <f t="shared" si="7"/>
        <v>315240.98823444173</v>
      </c>
    </row>
    <row r="14" spans="2:19" x14ac:dyDescent="0.3">
      <c r="B14" s="42" t="s">
        <v>20</v>
      </c>
      <c r="C14" s="43">
        <f>SUMIF('Entrada AR'!$E$8:$E$43,'Reliquidación AR'!$B14,'Entrada AR'!F$8:F$43)</f>
        <v>276412.52100000001</v>
      </c>
      <c r="D14" s="43">
        <f>SUMIF('Entrada AR'!$E$8:$E$43,'Reliquidación AR'!$B14,'Entrada AR'!G$8:G$43)</f>
        <v>919955.61899999995</v>
      </c>
      <c r="E14" s="43">
        <f>SUMIF('Entrada AR'!$E$8:$E$43,'Reliquidación AR'!$B14,'Entrada AR'!H$8:H$43)</f>
        <v>0</v>
      </c>
      <c r="F14" s="43">
        <f>SUMIF('Entrada AR'!$E$8:$E$43,'Reliquidación AR'!$B14,'Entrada AR'!I$8:I$43)</f>
        <v>0</v>
      </c>
      <c r="G14" s="43">
        <f>SUMIF('Entrada AR'!$E$8:$E$43,'Reliquidación AR'!$B14,'Entrada AR'!J$8:J$43)</f>
        <v>87410.138928544824</v>
      </c>
      <c r="H14" s="43">
        <v>0</v>
      </c>
      <c r="I14" s="43">
        <f>H14*($I$4+1)</f>
        <v>0</v>
      </c>
      <c r="J14" s="43">
        <v>0</v>
      </c>
      <c r="K14" s="43">
        <f t="shared" si="3"/>
        <v>0</v>
      </c>
      <c r="L14" s="43">
        <f>+'Reliquidación TD'!O14</f>
        <v>0</v>
      </c>
      <c r="M14" s="43">
        <f t="shared" si="0"/>
        <v>87410.138928544824</v>
      </c>
      <c r="N14" s="43">
        <f t="shared" si="4"/>
        <v>0</v>
      </c>
      <c r="O14" s="43">
        <f t="shared" si="5"/>
        <v>87410.138928544824</v>
      </c>
      <c r="P14" s="43">
        <f t="shared" si="1"/>
        <v>-86141.184259613583</v>
      </c>
      <c r="Q14" s="43">
        <f t="shared" si="6"/>
        <v>1268.954668931241</v>
      </c>
      <c r="R14" s="43">
        <v>0</v>
      </c>
      <c r="S14" s="43">
        <f t="shared" si="7"/>
        <v>1268.954668931241</v>
      </c>
    </row>
    <row r="15" spans="2:19" x14ac:dyDescent="0.3">
      <c r="B15" s="42" t="s">
        <v>21</v>
      </c>
      <c r="C15" s="43">
        <f>SUMIF('Entrada AR'!$E$8:$E$43,'Reliquidación AR'!$B15,'Entrada AR'!F$8:F$43)</f>
        <v>10988646.189813221</v>
      </c>
      <c r="D15" s="43">
        <f>SUMIF('Entrada AR'!$E$8:$E$43,'Reliquidación AR'!$B15,'Entrada AR'!G$8:G$43)</f>
        <v>20872323.987</v>
      </c>
      <c r="E15" s="43">
        <f>SUMIF('Entrada AR'!$E$8:$E$43,'Reliquidación AR'!$B15,'Entrada AR'!H$8:H$43)</f>
        <v>432597.261</v>
      </c>
      <c r="F15" s="43">
        <f>SUMIF('Entrada AR'!$E$8:$E$43,'Reliquidación AR'!$B15,'Entrada AR'!I$8:I$43)</f>
        <v>33995.805</v>
      </c>
      <c r="G15" s="43">
        <f>SUMIF('Entrada AR'!$E$8:$E$43,'Reliquidación AR'!$B15,'Entrada AR'!J$8:J$43)</f>
        <v>887073.20475713327</v>
      </c>
      <c r="H15" s="43">
        <v>0</v>
      </c>
      <c r="I15" s="43">
        <f t="shared" si="2"/>
        <v>0</v>
      </c>
      <c r="J15" s="43">
        <v>0</v>
      </c>
      <c r="K15" s="43">
        <f t="shared" si="3"/>
        <v>0</v>
      </c>
      <c r="L15" s="43">
        <f>+'Reliquidación TD'!O15</f>
        <v>-17726.388161247462</v>
      </c>
      <c r="M15" s="43">
        <f t="shared" si="0"/>
        <v>887073.20475713327</v>
      </c>
      <c r="N15" s="43">
        <f t="shared" si="4"/>
        <v>0</v>
      </c>
      <c r="O15" s="43">
        <f t="shared" si="5"/>
        <v>887073.20475713327</v>
      </c>
      <c r="P15" s="43">
        <f t="shared" si="1"/>
        <v>-874195.34300495649</v>
      </c>
      <c r="Q15" s="43">
        <f t="shared" si="6"/>
        <v>12877.861752176774</v>
      </c>
      <c r="R15" s="43">
        <v>0</v>
      </c>
      <c r="S15" s="43">
        <f t="shared" si="7"/>
        <v>12877.861752176774</v>
      </c>
    </row>
    <row r="16" spans="2:19" x14ac:dyDescent="0.3">
      <c r="B16" s="42" t="s">
        <v>22</v>
      </c>
      <c r="C16" s="43">
        <f>SUMIF('Entrada AR'!$E$8:$E$43,'Reliquidación AR'!$B16,'Entrada AR'!F$8:F$43)</f>
        <v>0</v>
      </c>
      <c r="D16" s="43">
        <f>SUMIF('Entrada AR'!$E$8:$E$43,'Reliquidación AR'!$B16,'Entrada AR'!G$8:G$43)</f>
        <v>0</v>
      </c>
      <c r="E16" s="43">
        <f>SUMIF('Entrada AR'!$E$8:$E$43,'Reliquidación AR'!$B16,'Entrada AR'!H$8:H$43)</f>
        <v>0</v>
      </c>
      <c r="F16" s="43">
        <f>SUMIF('Entrada AR'!$E$8:$E$43,'Reliquidación AR'!$B16,'Entrada AR'!I$8:I$43)</f>
        <v>0</v>
      </c>
      <c r="G16" s="43">
        <f>SUMIF('Entrada AR'!$E$8:$E$43,'Reliquidación AR'!$B16,'Entrada AR'!J$8:J$43)</f>
        <v>0</v>
      </c>
      <c r="H16" s="43">
        <v>0</v>
      </c>
      <c r="I16" s="43">
        <f t="shared" si="2"/>
        <v>0</v>
      </c>
      <c r="J16" s="43">
        <v>0</v>
      </c>
      <c r="K16" s="43">
        <f t="shared" si="3"/>
        <v>0</v>
      </c>
      <c r="L16" s="43">
        <f>+'Reliquidación TD'!O16</f>
        <v>0</v>
      </c>
      <c r="M16" s="43">
        <f t="shared" si="0"/>
        <v>0</v>
      </c>
      <c r="N16" s="43">
        <f t="shared" si="4"/>
        <v>0</v>
      </c>
      <c r="O16" s="43">
        <f t="shared" si="5"/>
        <v>0</v>
      </c>
      <c r="P16" s="43">
        <f t="shared" si="1"/>
        <v>0</v>
      </c>
      <c r="Q16" s="43">
        <f t="shared" si="6"/>
        <v>0</v>
      </c>
      <c r="R16" s="43">
        <v>0</v>
      </c>
      <c r="S16" s="43">
        <f t="shared" si="7"/>
        <v>0</v>
      </c>
    </row>
    <row r="17" spans="2:19" x14ac:dyDescent="0.3">
      <c r="B17" s="42" t="s">
        <v>23</v>
      </c>
      <c r="C17" s="43">
        <f>SUMIF('Entrada AR'!$E$8:$E$43,'Reliquidación AR'!$B17,'Entrada AR'!F$8:F$43)</f>
        <v>0</v>
      </c>
      <c r="D17" s="43">
        <f>SUMIF('Entrada AR'!$E$8:$E$43,'Reliquidación AR'!$B17,'Entrada AR'!G$8:G$43)</f>
        <v>0</v>
      </c>
      <c r="E17" s="43">
        <f>SUMIF('Entrada AR'!$E$8:$E$43,'Reliquidación AR'!$B17,'Entrada AR'!H$8:H$43)</f>
        <v>0</v>
      </c>
      <c r="F17" s="43">
        <f>SUMIF('Entrada AR'!$E$8:$E$43,'Reliquidación AR'!$B17,'Entrada AR'!I$8:I$43)</f>
        <v>0</v>
      </c>
      <c r="G17" s="43">
        <f>SUMIF('Entrada AR'!$E$8:$E$43,'Reliquidación AR'!$B17,'Entrada AR'!J$8:J$43)</f>
        <v>0</v>
      </c>
      <c r="H17" s="43">
        <v>0</v>
      </c>
      <c r="I17" s="43">
        <f t="shared" si="2"/>
        <v>0</v>
      </c>
      <c r="J17" s="43">
        <v>0</v>
      </c>
      <c r="K17" s="43">
        <f t="shared" si="3"/>
        <v>0</v>
      </c>
      <c r="L17" s="43">
        <f>+'Reliquidación TD'!O17</f>
        <v>0</v>
      </c>
      <c r="M17" s="43">
        <f t="shared" si="0"/>
        <v>0</v>
      </c>
      <c r="N17" s="43">
        <f t="shared" si="4"/>
        <v>0</v>
      </c>
      <c r="O17" s="43">
        <f t="shared" si="5"/>
        <v>0</v>
      </c>
      <c r="P17" s="43">
        <f t="shared" si="1"/>
        <v>0</v>
      </c>
      <c r="Q17" s="43">
        <f t="shared" si="6"/>
        <v>0</v>
      </c>
      <c r="R17" s="43">
        <v>0</v>
      </c>
      <c r="S17" s="43">
        <f t="shared" si="7"/>
        <v>0</v>
      </c>
    </row>
    <row r="18" spans="2:19" x14ac:dyDescent="0.3">
      <c r="B18" s="42" t="s">
        <v>24</v>
      </c>
      <c r="C18" s="43">
        <f>SUMIF('Entrada AR'!$E$8:$E$43,'Reliquidación AR'!$B18,'Entrada AR'!F$8:F$43)+SUMIF('Entrada AR'!$E$8:$E$43,"LUZ ANDES",'Entrada AR'!F$8:F$43)</f>
        <v>102568823.286</v>
      </c>
      <c r="D18" s="43">
        <f>SUMIF('Entrada AR'!$E$8:$E$43,'Reliquidación AR'!$B18,'Entrada AR'!G$8:G$43)+SUMIF('Entrada AR'!$E$8:$E$43,"LUZ ANDES",'Entrada AR'!G$8:G$43)</f>
        <v>616173126.97099996</v>
      </c>
      <c r="E18" s="43">
        <f>SUMIF('Entrada AR'!$E$8:$E$43,'Reliquidación AR'!$B18,'Entrada AR'!H$8:H$43)+SUMIF('Entrada AR'!$E$8:$E$43,"LUZ ANDES",'Entrada AR'!H$8:H$43)</f>
        <v>422173.5</v>
      </c>
      <c r="F18" s="43">
        <f>SUMIF('Entrada AR'!$E$8:$E$43,'Reliquidación AR'!$B18,'Entrada AR'!I$8:I$43)+SUMIF('Entrada AR'!$E$8:$E$43,"LUZ ANDES",'Entrada AR'!I$8:I$43)</f>
        <v>944776.95</v>
      </c>
      <c r="G18" s="43">
        <f>SUMIF('Entrada AR'!$E$8:$E$43,'Reliquidación AR'!$B18,'Entrada AR'!J$8:J$43)+SUMIF('Entrada AR'!$E$8:$E$43,"LUZ ANDES",'Entrada AR'!J$8:J$43)</f>
        <v>55886110.505252428</v>
      </c>
      <c r="H18" s="43">
        <v>0</v>
      </c>
      <c r="I18" s="43">
        <f t="shared" si="2"/>
        <v>0</v>
      </c>
      <c r="J18" s="43">
        <v>0</v>
      </c>
      <c r="K18" s="43">
        <f t="shared" si="3"/>
        <v>0</v>
      </c>
      <c r="L18" s="43">
        <f>+'Reliquidación TD'!O18</f>
        <v>-470065.51200796629</v>
      </c>
      <c r="M18" s="43">
        <f t="shared" si="0"/>
        <v>55886110.505252428</v>
      </c>
      <c r="N18" s="43">
        <f t="shared" si="4"/>
        <v>0</v>
      </c>
      <c r="O18" s="43">
        <f t="shared" si="5"/>
        <v>55886110.505252428</v>
      </c>
      <c r="P18" s="43">
        <f t="shared" si="1"/>
        <v>-55074797.976484798</v>
      </c>
      <c r="Q18" s="43">
        <f t="shared" si="6"/>
        <v>811312.52876763046</v>
      </c>
      <c r="R18" s="43">
        <v>0</v>
      </c>
      <c r="S18" s="43">
        <f t="shared" si="7"/>
        <v>811312.52876763046</v>
      </c>
    </row>
    <row r="19" spans="2:19" x14ac:dyDescent="0.3">
      <c r="B19" s="42" t="s">
        <v>26</v>
      </c>
      <c r="C19" s="43">
        <f>SUMIF('Entrada AR'!$E$8:$E$43,'Reliquidación AR'!$B19,'Entrada AR'!F$8:F$43)</f>
        <v>31118094.763999999</v>
      </c>
      <c r="D19" s="43">
        <f>SUMIF('Entrada AR'!$E$8:$E$43,'Reliquidación AR'!$B19,'Entrada AR'!G$8:G$43)</f>
        <v>75983954.803727269</v>
      </c>
      <c r="E19" s="43">
        <f>SUMIF('Entrada AR'!$E$8:$E$43,'Reliquidación AR'!$B19,'Entrada AR'!H$8:H$43)</f>
        <v>1218497.138</v>
      </c>
      <c r="F19" s="43">
        <f>SUMIF('Entrada AR'!$E$8:$E$43,'Reliquidación AR'!$B19,'Entrada AR'!I$8:I$43)</f>
        <v>136265.35399999999</v>
      </c>
      <c r="G19" s="43">
        <f>SUMIF('Entrada AR'!$E$8:$E$43,'Reliquidación AR'!$B19,'Entrada AR'!J$8:J$43)</f>
        <v>4926543.6610494927</v>
      </c>
      <c r="H19" s="43">
        <v>0</v>
      </c>
      <c r="I19" s="43">
        <f t="shared" si="2"/>
        <v>0</v>
      </c>
      <c r="J19" s="43">
        <v>0</v>
      </c>
      <c r="K19" s="43">
        <f t="shared" si="3"/>
        <v>0</v>
      </c>
      <c r="L19" s="43">
        <f>+'Reliquidación TD'!O19</f>
        <v>-228982.78994067799</v>
      </c>
      <c r="M19" s="43">
        <f t="shared" si="0"/>
        <v>4926543.6610494927</v>
      </c>
      <c r="N19" s="43">
        <f t="shared" si="4"/>
        <v>0</v>
      </c>
      <c r="O19" s="43">
        <f t="shared" si="5"/>
        <v>4926543.6610494927</v>
      </c>
      <c r="P19" s="43">
        <f t="shared" si="1"/>
        <v>-4855023.8046917217</v>
      </c>
      <c r="Q19" s="43">
        <f t="shared" si="6"/>
        <v>71519.856357770972</v>
      </c>
      <c r="R19" s="43">
        <v>0</v>
      </c>
      <c r="S19" s="43">
        <f t="shared" si="7"/>
        <v>71519.856357770972</v>
      </c>
    </row>
    <row r="20" spans="2:19" x14ac:dyDescent="0.3">
      <c r="B20" s="42" t="s">
        <v>27</v>
      </c>
      <c r="C20" s="43">
        <f>SUMIF('Entrada AR'!$E$8:$E$43,'Reliquidación AR'!$B20,'Entrada AR'!F$8:F$43)</f>
        <v>3566656.8309999998</v>
      </c>
      <c r="D20" s="43">
        <f>SUMIF('Entrada AR'!$E$8:$E$43,'Reliquidación AR'!$B20,'Entrada AR'!G$8:G$43)</f>
        <v>21200534.309999999</v>
      </c>
      <c r="E20" s="43">
        <f>SUMIF('Entrada AR'!$E$8:$E$43,'Reliquidación AR'!$B20,'Entrada AR'!H$8:H$43)</f>
        <v>0</v>
      </c>
      <c r="F20" s="43">
        <f>SUMIF('Entrada AR'!$E$8:$E$43,'Reliquidación AR'!$B20,'Entrada AR'!I$8:I$43)</f>
        <v>14009.406000000001</v>
      </c>
      <c r="G20" s="43">
        <f>SUMIF('Entrada AR'!$E$8:$E$43,'Reliquidación AR'!$B20,'Entrada AR'!J$8:J$43)</f>
        <v>1667301.611908186</v>
      </c>
      <c r="H20" s="43">
        <v>0</v>
      </c>
      <c r="I20" s="43">
        <f t="shared" si="2"/>
        <v>0</v>
      </c>
      <c r="J20" s="43">
        <v>0</v>
      </c>
      <c r="K20" s="43">
        <f t="shared" si="3"/>
        <v>0</v>
      </c>
      <c r="L20" s="43">
        <f>+'Reliquidación TD'!O20</f>
        <v>-186270.54573123949</v>
      </c>
      <c r="M20" s="43">
        <f t="shared" si="0"/>
        <v>1667301.611908186</v>
      </c>
      <c r="N20" s="43">
        <f t="shared" si="4"/>
        <v>0</v>
      </c>
      <c r="O20" s="43">
        <f t="shared" si="5"/>
        <v>1667301.611908186</v>
      </c>
      <c r="P20" s="43">
        <f t="shared" si="1"/>
        <v>-1643096.9808335572</v>
      </c>
      <c r="Q20" s="43">
        <f t="shared" si="6"/>
        <v>24204.631074628793</v>
      </c>
      <c r="R20" s="43">
        <v>0</v>
      </c>
      <c r="S20" s="43">
        <f t="shared" si="7"/>
        <v>24204.631074628793</v>
      </c>
    </row>
    <row r="21" spans="2:19" x14ac:dyDescent="0.3">
      <c r="B21" s="42" t="s">
        <v>28</v>
      </c>
      <c r="C21" s="43">
        <f>SUMIF('Entrada AR'!$E$8:$E$43,'Reliquidación AR'!$B21,'Entrada AR'!F$8:F$43)</f>
        <v>0</v>
      </c>
      <c r="D21" s="43">
        <f>SUMIF('Entrada AR'!$E$8:$E$43,'Reliquidación AR'!$B21,'Entrada AR'!G$8:G$43)</f>
        <v>0</v>
      </c>
      <c r="E21" s="43">
        <f>SUMIF('Entrada AR'!$E$8:$E$43,'Reliquidación AR'!$B21,'Entrada AR'!H$8:H$43)</f>
        <v>0</v>
      </c>
      <c r="F21" s="43">
        <f>SUMIF('Entrada AR'!$E$8:$E$43,'Reliquidación AR'!$B21,'Entrada AR'!I$8:I$43)</f>
        <v>0</v>
      </c>
      <c r="G21" s="43">
        <f>SUMIF('Entrada AR'!$E$8:$E$43,'Reliquidación AR'!$B21,'Entrada AR'!J$8:J$43)</f>
        <v>0</v>
      </c>
      <c r="H21" s="43">
        <v>0</v>
      </c>
      <c r="I21" s="43">
        <f t="shared" si="2"/>
        <v>0</v>
      </c>
      <c r="J21" s="43">
        <v>0</v>
      </c>
      <c r="K21" s="43">
        <f t="shared" si="3"/>
        <v>0</v>
      </c>
      <c r="L21" s="43">
        <f>+'Reliquidación TD'!O21</f>
        <v>0</v>
      </c>
      <c r="M21" s="43">
        <f t="shared" si="0"/>
        <v>0</v>
      </c>
      <c r="N21" s="43">
        <f t="shared" si="4"/>
        <v>0</v>
      </c>
      <c r="O21" s="43">
        <f t="shared" si="5"/>
        <v>0</v>
      </c>
      <c r="P21" s="43">
        <f t="shared" si="1"/>
        <v>0</v>
      </c>
      <c r="Q21" s="43">
        <f t="shared" si="6"/>
        <v>0</v>
      </c>
      <c r="R21" s="43">
        <v>0</v>
      </c>
      <c r="S21" s="43">
        <f t="shared" si="7"/>
        <v>0</v>
      </c>
    </row>
    <row r="22" spans="2:19" x14ac:dyDescent="0.3">
      <c r="B22" s="42" t="s">
        <v>29</v>
      </c>
      <c r="C22" s="43">
        <f>SUMIF('Entrada AR'!$E$8:$E$43,'Reliquidación AR'!$B22,'Entrada AR'!F$8:F$43)</f>
        <v>1523795</v>
      </c>
      <c r="D22" s="43">
        <f>SUMIF('Entrada AR'!$E$8:$E$43,'Reliquidación AR'!$B22,'Entrada AR'!G$8:G$43)</f>
        <v>8934806</v>
      </c>
      <c r="E22" s="43">
        <f>SUMIF('Entrada AR'!$E$8:$E$43,'Reliquidación AR'!$B22,'Entrada AR'!H$8:H$43)</f>
        <v>9577</v>
      </c>
      <c r="F22" s="43">
        <f>SUMIF('Entrada AR'!$E$8:$E$43,'Reliquidación AR'!$B22,'Entrada AR'!I$8:I$43)</f>
        <v>6894</v>
      </c>
      <c r="G22" s="43">
        <f>SUMIF('Entrada AR'!$E$8:$E$43,'Reliquidación AR'!$B22,'Entrada AR'!J$8:J$43)</f>
        <v>-63794901.424660377</v>
      </c>
      <c r="H22" s="43">
        <v>0</v>
      </c>
      <c r="I22" s="43">
        <f t="shared" si="2"/>
        <v>0</v>
      </c>
      <c r="J22" s="43">
        <v>0</v>
      </c>
      <c r="K22" s="43">
        <f t="shared" si="3"/>
        <v>0</v>
      </c>
      <c r="L22" s="43">
        <f>+'Reliquidación TD'!O22</f>
        <v>0</v>
      </c>
      <c r="M22" s="43">
        <f t="shared" si="0"/>
        <v>-63794901.424660377</v>
      </c>
      <c r="N22" s="43">
        <f t="shared" si="4"/>
        <v>63794901.424660377</v>
      </c>
      <c r="O22" s="43">
        <f t="shared" si="5"/>
        <v>0</v>
      </c>
      <c r="P22" s="43">
        <f t="shared" si="1"/>
        <v>63794901.424660377</v>
      </c>
      <c r="Q22" s="43">
        <f t="shared" si="6"/>
        <v>0</v>
      </c>
      <c r="R22" s="43">
        <v>0</v>
      </c>
      <c r="S22" s="43">
        <f t="shared" si="7"/>
        <v>0</v>
      </c>
    </row>
    <row r="23" spans="2:19" x14ac:dyDescent="0.3">
      <c r="B23" s="42" t="s">
        <v>30</v>
      </c>
      <c r="C23" s="43">
        <f>SUMIF('Entrada AR'!$E$8:$E$43,'Reliquidación AR'!$B23,'Entrada AR'!F$8:F$43)</f>
        <v>4014606</v>
      </c>
      <c r="D23" s="43">
        <f>SUMIF('Entrada AR'!$E$8:$E$43,'Reliquidación AR'!$B23,'Entrada AR'!G$8:G$43)</f>
        <v>13469914</v>
      </c>
      <c r="E23" s="43">
        <f>SUMIF('Entrada AR'!$E$8:$E$43,'Reliquidación AR'!$B23,'Entrada AR'!H$8:H$43)</f>
        <v>422455</v>
      </c>
      <c r="F23" s="43">
        <f>SUMIF('Entrada AR'!$E$8:$E$43,'Reliquidación AR'!$B23,'Entrada AR'!I$8:I$43)</f>
        <v>77115</v>
      </c>
      <c r="G23" s="43">
        <f>SUMIF('Entrada AR'!$E$8:$E$43,'Reliquidación AR'!$B23,'Entrada AR'!J$8:J$43)</f>
        <v>1301818.68659011</v>
      </c>
      <c r="H23" s="43">
        <v>0</v>
      </c>
      <c r="I23" s="43">
        <f t="shared" si="2"/>
        <v>0</v>
      </c>
      <c r="J23" s="43">
        <v>0</v>
      </c>
      <c r="K23" s="43">
        <f t="shared" si="3"/>
        <v>0</v>
      </c>
      <c r="L23" s="43">
        <f>+'Reliquidación TD'!O23</f>
        <v>0</v>
      </c>
      <c r="M23" s="43">
        <f t="shared" si="0"/>
        <v>1301818.68659011</v>
      </c>
      <c r="N23" s="43">
        <f t="shared" si="4"/>
        <v>0</v>
      </c>
      <c r="O23" s="43">
        <f t="shared" si="5"/>
        <v>1301818.68659011</v>
      </c>
      <c r="P23" s="43">
        <f t="shared" si="1"/>
        <v>-1282919.8618004494</v>
      </c>
      <c r="Q23" s="43">
        <f t="shared" si="6"/>
        <v>18898.824789660517</v>
      </c>
      <c r="R23" s="43">
        <v>0</v>
      </c>
      <c r="S23" s="43">
        <f t="shared" si="7"/>
        <v>18898.824789660517</v>
      </c>
    </row>
    <row r="24" spans="2:19" x14ac:dyDescent="0.3">
      <c r="B24" s="42" t="s">
        <v>31</v>
      </c>
      <c r="C24" s="43">
        <f>SUMIF('Entrada AR'!$E$8:$E$43,'Reliquidación AR'!$B24,'Entrada AR'!F$8:F$43)</f>
        <v>1635308</v>
      </c>
      <c r="D24" s="43">
        <f>SUMIF('Entrada AR'!$E$8:$E$43,'Reliquidación AR'!$B24,'Entrada AR'!G$8:G$43)</f>
        <v>16202203</v>
      </c>
      <c r="E24" s="43">
        <f>SUMIF('Entrada AR'!$E$8:$E$43,'Reliquidación AR'!$B24,'Entrada AR'!H$8:H$43)</f>
        <v>14</v>
      </c>
      <c r="F24" s="43">
        <f>SUMIF('Entrada AR'!$E$8:$E$43,'Reliquidación AR'!$B24,'Entrada AR'!I$8:I$43)</f>
        <v>58658</v>
      </c>
      <c r="G24" s="43">
        <f>SUMIF('Entrada AR'!$E$8:$E$43,'Reliquidación AR'!$B24,'Entrada AR'!J$8:J$43)</f>
        <v>1197449.4920929221</v>
      </c>
      <c r="H24" s="43">
        <v>0</v>
      </c>
      <c r="I24" s="43">
        <f t="shared" si="2"/>
        <v>0</v>
      </c>
      <c r="J24" s="43">
        <v>0</v>
      </c>
      <c r="K24" s="43">
        <f t="shared" si="3"/>
        <v>0</v>
      </c>
      <c r="L24" s="43">
        <f>+'Reliquidación TD'!O24</f>
        <v>0</v>
      </c>
      <c r="M24" s="43">
        <f t="shared" si="0"/>
        <v>1197449.4920929221</v>
      </c>
      <c r="N24" s="43">
        <f t="shared" si="4"/>
        <v>0</v>
      </c>
      <c r="O24" s="43">
        <f t="shared" si="5"/>
        <v>1197449.4920929221</v>
      </c>
      <c r="P24" s="43">
        <f t="shared" si="1"/>
        <v>-1180065.8207885805</v>
      </c>
      <c r="Q24" s="43">
        <f t="shared" si="6"/>
        <v>17383.671304341638</v>
      </c>
      <c r="R24" s="43">
        <v>0</v>
      </c>
      <c r="S24" s="43">
        <f t="shared" si="7"/>
        <v>17383.671304341638</v>
      </c>
    </row>
    <row r="25" spans="2:19" x14ac:dyDescent="0.3">
      <c r="B25" s="42" t="s">
        <v>32</v>
      </c>
      <c r="C25" s="43">
        <f>SUMIF('Entrada AR'!$E$8:$E$43,'Reliquidación AR'!$B25,'Entrada AR'!F$8:F$43)</f>
        <v>505561</v>
      </c>
      <c r="D25" s="43">
        <f>SUMIF('Entrada AR'!$E$8:$E$43,'Reliquidación AR'!$B25,'Entrada AR'!G$8:G$43)</f>
        <v>2537503</v>
      </c>
      <c r="E25" s="43">
        <f>SUMIF('Entrada AR'!$E$8:$E$43,'Reliquidación AR'!$B25,'Entrada AR'!H$8:H$43)</f>
        <v>104171</v>
      </c>
      <c r="F25" s="43">
        <f>SUMIF('Entrada AR'!$E$8:$E$43,'Reliquidación AR'!$B25,'Entrada AR'!I$8:I$43)</f>
        <v>25305</v>
      </c>
      <c r="G25" s="43">
        <f>SUMIF('Entrada AR'!$E$8:$E$43,'Reliquidación AR'!$B25,'Entrada AR'!J$8:J$43)</f>
        <v>-11992746.69517442</v>
      </c>
      <c r="H25" s="43">
        <v>0</v>
      </c>
      <c r="I25" s="43">
        <f t="shared" si="2"/>
        <v>0</v>
      </c>
      <c r="J25" s="43">
        <v>0</v>
      </c>
      <c r="K25" s="43">
        <f t="shared" si="3"/>
        <v>0</v>
      </c>
      <c r="L25" s="43">
        <f>+'Reliquidación TD'!O25</f>
        <v>0</v>
      </c>
      <c r="M25" s="43">
        <f t="shared" si="0"/>
        <v>-11992746.69517442</v>
      </c>
      <c r="N25" s="43">
        <f t="shared" si="4"/>
        <v>11992746.69517442</v>
      </c>
      <c r="O25" s="43">
        <f t="shared" si="5"/>
        <v>0</v>
      </c>
      <c r="P25" s="43">
        <f t="shared" si="1"/>
        <v>11992746.69517442</v>
      </c>
      <c r="Q25" s="43">
        <f t="shared" si="6"/>
        <v>0</v>
      </c>
      <c r="R25" s="43">
        <v>0</v>
      </c>
      <c r="S25" s="43">
        <f t="shared" si="7"/>
        <v>0</v>
      </c>
    </row>
    <row r="26" spans="2:19" x14ac:dyDescent="0.3">
      <c r="B26" s="42" t="s">
        <v>33</v>
      </c>
      <c r="C26" s="43">
        <f>SUMIF('Entrada AR'!$E$8:$E$43,'Reliquidación AR'!$B26,'Entrada AR'!F$8:F$43)</f>
        <v>958365</v>
      </c>
      <c r="D26" s="43">
        <f>SUMIF('Entrada AR'!$E$8:$E$43,'Reliquidación AR'!$B26,'Entrada AR'!G$8:G$43)</f>
        <v>2268594</v>
      </c>
      <c r="E26" s="43">
        <f>SUMIF('Entrada AR'!$E$8:$E$43,'Reliquidación AR'!$B26,'Entrada AR'!H$8:H$43)</f>
        <v>45804</v>
      </c>
      <c r="F26" s="43">
        <f>SUMIF('Entrada AR'!$E$8:$E$43,'Reliquidación AR'!$B26,'Entrada AR'!I$8:I$43)</f>
        <v>5952</v>
      </c>
      <c r="G26" s="43">
        <f>SUMIF('Entrada AR'!$E$8:$E$43,'Reliquidación AR'!$B26,'Entrada AR'!J$8:J$43)</f>
        <v>-11304783.45530149</v>
      </c>
      <c r="H26" s="43">
        <v>0</v>
      </c>
      <c r="I26" s="43">
        <f t="shared" si="2"/>
        <v>0</v>
      </c>
      <c r="J26" s="43">
        <v>0</v>
      </c>
      <c r="K26" s="43">
        <f t="shared" si="3"/>
        <v>0</v>
      </c>
      <c r="L26" s="43">
        <f>+'Reliquidación TD'!O26</f>
        <v>0</v>
      </c>
      <c r="M26" s="43">
        <f t="shared" si="0"/>
        <v>-11304783.45530149</v>
      </c>
      <c r="N26" s="43">
        <f t="shared" si="4"/>
        <v>11304783.45530149</v>
      </c>
      <c r="O26" s="43">
        <f t="shared" si="5"/>
        <v>0</v>
      </c>
      <c r="P26" s="43">
        <f t="shared" si="1"/>
        <v>11304783.45530149</v>
      </c>
      <c r="Q26" s="43">
        <f t="shared" si="6"/>
        <v>0</v>
      </c>
      <c r="R26" s="43">
        <v>0</v>
      </c>
      <c r="S26" s="43">
        <f t="shared" si="7"/>
        <v>0</v>
      </c>
    </row>
    <row r="27" spans="2:19" x14ac:dyDescent="0.3">
      <c r="B27" s="42" t="s">
        <v>34</v>
      </c>
      <c r="C27" s="43">
        <f>SUMIF('Entrada AR'!$E$8:$E$43,'Reliquidación AR'!$B27,'Entrada AR'!F$8:F$43)</f>
        <v>1141514</v>
      </c>
      <c r="D27" s="43">
        <f>SUMIF('Entrada AR'!$E$8:$E$43,'Reliquidación AR'!$B27,'Entrada AR'!G$8:G$43)</f>
        <v>7272511</v>
      </c>
      <c r="E27" s="43">
        <f>SUMIF('Entrada AR'!$E$8:$E$43,'Reliquidación AR'!$B27,'Entrada AR'!H$8:H$43)</f>
        <v>306813</v>
      </c>
      <c r="F27" s="43">
        <f>SUMIF('Entrada AR'!$E$8:$E$43,'Reliquidación AR'!$B27,'Entrada AR'!I$8:I$43)</f>
        <v>56871</v>
      </c>
      <c r="G27" s="43">
        <f>SUMIF('Entrada AR'!$E$8:$E$43,'Reliquidación AR'!$B27,'Entrada AR'!J$8:J$43)</f>
        <v>640780.2502178112</v>
      </c>
      <c r="H27" s="43">
        <v>0</v>
      </c>
      <c r="I27" s="43">
        <f t="shared" si="2"/>
        <v>0</v>
      </c>
      <c r="J27" s="43">
        <v>0</v>
      </c>
      <c r="K27" s="43">
        <f t="shared" si="3"/>
        <v>0</v>
      </c>
      <c r="L27" s="43">
        <f>+'Reliquidación TD'!O27</f>
        <v>0</v>
      </c>
      <c r="M27" s="43">
        <f t="shared" si="0"/>
        <v>640780.2502178112</v>
      </c>
      <c r="N27" s="43">
        <f t="shared" si="4"/>
        <v>0</v>
      </c>
      <c r="O27" s="43">
        <f t="shared" si="5"/>
        <v>640780.2502178112</v>
      </c>
      <c r="P27" s="43">
        <f t="shared" si="1"/>
        <v>-631477.88437970716</v>
      </c>
      <c r="Q27" s="43">
        <f t="shared" si="6"/>
        <v>9302.3658381040441</v>
      </c>
      <c r="R27" s="43">
        <v>0</v>
      </c>
      <c r="S27" s="43">
        <f t="shared" si="7"/>
        <v>9302.3658381040441</v>
      </c>
    </row>
    <row r="28" spans="2:19" x14ac:dyDescent="0.3">
      <c r="B28" s="42" t="s">
        <v>35</v>
      </c>
      <c r="C28" s="43">
        <f>SUMIF('Entrada AR'!$E$8:$E$43,'Reliquidación AR'!$B28,'Entrada AR'!F$8:F$43)</f>
        <v>19411375.32</v>
      </c>
      <c r="D28" s="43">
        <f>SUMIF('Entrada AR'!$E$8:$E$43,'Reliquidación AR'!$B28,'Entrada AR'!G$8:G$43)</f>
        <v>66990517.640000001</v>
      </c>
      <c r="E28" s="43">
        <f>SUMIF('Entrada AR'!$E$8:$E$43,'Reliquidación AR'!$B28,'Entrada AR'!H$8:H$43)</f>
        <v>255093.88500000001</v>
      </c>
      <c r="F28" s="43">
        <f>SUMIF('Entrada AR'!$E$8:$E$43,'Reliquidación AR'!$B28,'Entrada AR'!I$8:I$43)</f>
        <v>88673.3</v>
      </c>
      <c r="G28" s="43">
        <f>SUMIF('Entrada AR'!$E$8:$E$43,'Reliquidación AR'!$B28,'Entrada AR'!J$8:J$43)</f>
        <v>6074198.7829265706</v>
      </c>
      <c r="H28" s="43">
        <v>0</v>
      </c>
      <c r="I28" s="43">
        <f t="shared" si="2"/>
        <v>0</v>
      </c>
      <c r="J28" s="43">
        <v>0</v>
      </c>
      <c r="K28" s="43">
        <f t="shared" si="3"/>
        <v>0</v>
      </c>
      <c r="L28" s="43">
        <f>+'Reliquidación TD'!O28</f>
        <v>-262.00167411941243</v>
      </c>
      <c r="M28" s="43">
        <f t="shared" si="0"/>
        <v>6074198.7829265706</v>
      </c>
      <c r="N28" s="43">
        <f t="shared" si="4"/>
        <v>0</v>
      </c>
      <c r="O28" s="43">
        <f t="shared" si="5"/>
        <v>6074198.7829265706</v>
      </c>
      <c r="P28" s="43">
        <f t="shared" si="1"/>
        <v>-5986018.1324883858</v>
      </c>
      <c r="Q28" s="43">
        <f t="shared" si="6"/>
        <v>88180.65043818485</v>
      </c>
      <c r="R28" s="43">
        <v>0</v>
      </c>
      <c r="S28" s="43">
        <f t="shared" si="7"/>
        <v>88180.65043818485</v>
      </c>
    </row>
    <row r="29" spans="2:19" x14ac:dyDescent="0.3">
      <c r="B29" s="42" t="s">
        <v>36</v>
      </c>
      <c r="C29" s="43">
        <f>SUMIF('Entrada AR'!$E$8:$E$43,'Reliquidación AR'!$B29,'Entrada AR'!F$8:F$43)</f>
        <v>7103311.8200000003</v>
      </c>
      <c r="D29" s="43">
        <f>SUMIF('Entrada AR'!$E$8:$E$43,'Reliquidación AR'!$B29,'Entrada AR'!G$8:G$43)</f>
        <v>6977602.1600000001</v>
      </c>
      <c r="E29" s="43">
        <f>SUMIF('Entrada AR'!$E$8:$E$43,'Reliquidación AR'!$B29,'Entrada AR'!H$8:H$43)</f>
        <v>158069.54</v>
      </c>
      <c r="F29" s="43">
        <f>SUMIF('Entrada AR'!$E$8:$E$43,'Reliquidación AR'!$B29,'Entrada AR'!I$8:I$43)</f>
        <v>3495</v>
      </c>
      <c r="G29" s="43">
        <f>SUMIF('Entrada AR'!$E$8:$E$43,'Reliquidación AR'!$B29,'Entrada AR'!J$8:J$43)</f>
        <v>964917.10337472497</v>
      </c>
      <c r="H29" s="43">
        <v>0</v>
      </c>
      <c r="I29" s="43">
        <f t="shared" si="2"/>
        <v>0</v>
      </c>
      <c r="J29" s="43">
        <v>0</v>
      </c>
      <c r="K29" s="43">
        <f t="shared" si="3"/>
        <v>0</v>
      </c>
      <c r="L29" s="43">
        <f>+'Reliquidación TD'!O29</f>
        <v>0</v>
      </c>
      <c r="M29" s="43">
        <f t="shared" si="0"/>
        <v>964917.10337472497</v>
      </c>
      <c r="N29" s="43">
        <f t="shared" si="4"/>
        <v>0</v>
      </c>
      <c r="O29" s="43">
        <f t="shared" si="5"/>
        <v>964917.10337472497</v>
      </c>
      <c r="P29" s="43">
        <f t="shared" si="1"/>
        <v>-950909.16243711917</v>
      </c>
      <c r="Q29" s="43">
        <f t="shared" si="6"/>
        <v>14007.940937605803</v>
      </c>
      <c r="R29" s="43">
        <v>0</v>
      </c>
      <c r="S29" s="43">
        <f t="shared" si="7"/>
        <v>14007.940937605803</v>
      </c>
    </row>
    <row r="30" spans="2:19" x14ac:dyDescent="0.3">
      <c r="B30" s="42" t="s">
        <v>37</v>
      </c>
      <c r="C30" s="43">
        <f>SUMIF('Entrada AR'!$E$8:$E$43,'Reliquidación AR'!$B30,'Entrada AR'!F$8:F$43)</f>
        <v>41853118.509999998</v>
      </c>
      <c r="D30" s="43">
        <f>SUMIF('Entrada AR'!$E$8:$E$43,'Reliquidación AR'!$B30,'Entrada AR'!G$8:G$43)</f>
        <v>119938812.62</v>
      </c>
      <c r="E30" s="43">
        <f>SUMIF('Entrada AR'!$E$8:$E$43,'Reliquidación AR'!$B30,'Entrada AR'!H$8:H$43)</f>
        <v>131234.23000000001</v>
      </c>
      <c r="F30" s="43">
        <f>SUMIF('Entrada AR'!$E$8:$E$43,'Reliquidación AR'!$B30,'Entrada AR'!I$8:I$43)</f>
        <v>68431.199999999997</v>
      </c>
      <c r="G30" s="43">
        <f>SUMIF('Entrada AR'!$E$8:$E$43,'Reliquidación AR'!$B30,'Entrada AR'!J$8:J$43)</f>
        <v>10811482.36499887</v>
      </c>
      <c r="H30" s="43">
        <v>0</v>
      </c>
      <c r="I30" s="43">
        <f t="shared" si="2"/>
        <v>0</v>
      </c>
      <c r="J30" s="43">
        <v>0</v>
      </c>
      <c r="K30" s="43">
        <f t="shared" si="3"/>
        <v>0</v>
      </c>
      <c r="L30" s="43">
        <f>+'Reliquidación TD'!O30</f>
        <v>0</v>
      </c>
      <c r="M30" s="43">
        <f t="shared" si="0"/>
        <v>10811482.36499887</v>
      </c>
      <c r="N30" s="43">
        <f t="shared" si="4"/>
        <v>0</v>
      </c>
      <c r="O30" s="43">
        <f t="shared" si="5"/>
        <v>10811482.36499887</v>
      </c>
      <c r="P30" s="43">
        <f t="shared" si="1"/>
        <v>-10654529.393715434</v>
      </c>
      <c r="Q30" s="43">
        <f t="shared" si="6"/>
        <v>156952.97128343582</v>
      </c>
      <c r="R30" s="43">
        <v>0</v>
      </c>
      <c r="S30" s="43">
        <f t="shared" si="7"/>
        <v>156952.97128343582</v>
      </c>
    </row>
    <row r="31" spans="2:19" x14ac:dyDescent="0.3">
      <c r="B31" s="42" t="s">
        <v>38</v>
      </c>
      <c r="C31" s="43">
        <f>SUMIF('Entrada AR'!$E$8:$E$43,'Reliquidación AR'!$B31,'Entrada AR'!F$8:F$43)</f>
        <v>1561983</v>
      </c>
      <c r="D31" s="43">
        <f>SUMIF('Entrada AR'!$E$8:$E$43,'Reliquidación AR'!$B31,'Entrada AR'!G$8:G$43)</f>
        <v>3175679</v>
      </c>
      <c r="E31" s="43">
        <f>SUMIF('Entrada AR'!$E$8:$E$43,'Reliquidación AR'!$B31,'Entrada AR'!H$8:H$43)</f>
        <v>38836</v>
      </c>
      <c r="F31" s="43">
        <f>SUMIF('Entrada AR'!$E$8:$E$43,'Reliquidación AR'!$B31,'Entrada AR'!I$8:I$43)</f>
        <v>7521</v>
      </c>
      <c r="G31" s="43">
        <f>SUMIF('Entrada AR'!$E$8:$E$43,'Reliquidación AR'!$B31,'Entrada AR'!J$8:J$43)</f>
        <v>317463.13384454808</v>
      </c>
      <c r="H31" s="43">
        <v>0</v>
      </c>
      <c r="I31" s="43">
        <f t="shared" si="2"/>
        <v>0</v>
      </c>
      <c r="J31" s="43">
        <v>0</v>
      </c>
      <c r="K31" s="43">
        <f t="shared" si="3"/>
        <v>0</v>
      </c>
      <c r="L31" s="43">
        <f>+'Reliquidación TD'!O31</f>
        <v>0</v>
      </c>
      <c r="M31" s="43">
        <f t="shared" si="0"/>
        <v>317463.13384454808</v>
      </c>
      <c r="N31" s="43">
        <f t="shared" si="4"/>
        <v>0</v>
      </c>
      <c r="O31" s="43">
        <f t="shared" si="5"/>
        <v>317463.13384454808</v>
      </c>
      <c r="P31" s="43">
        <f t="shared" si="1"/>
        <v>-312854.44278372161</v>
      </c>
      <c r="Q31" s="43">
        <f t="shared" si="6"/>
        <v>4608.6910608264734</v>
      </c>
      <c r="R31" s="43">
        <v>0</v>
      </c>
      <c r="S31" s="43">
        <f t="shared" si="7"/>
        <v>4608.6910608264734</v>
      </c>
    </row>
    <row r="32" spans="2:19" x14ac:dyDescent="0.3">
      <c r="B32" s="42" t="s">
        <v>39</v>
      </c>
      <c r="C32" s="43">
        <f>SUMIF('Entrada AR'!$E$8:$E$43,'Reliquidación AR'!$B32,'Entrada AR'!F$8:F$43)</f>
        <v>32588324.995099999</v>
      </c>
      <c r="D32" s="43">
        <f>SUMIF('Entrada AR'!$E$8:$E$43,'Reliquidación AR'!$B32,'Entrada AR'!G$8:G$43)</f>
        <v>148014930.39161</v>
      </c>
      <c r="E32" s="43">
        <f>SUMIF('Entrada AR'!$E$8:$E$43,'Reliquidación AR'!$B32,'Entrada AR'!H$8:H$43)</f>
        <v>2069235.4</v>
      </c>
      <c r="F32" s="43">
        <f>SUMIF('Entrada AR'!$E$8:$E$43,'Reliquidación AR'!$B32,'Entrada AR'!I$8:I$43)</f>
        <v>455407.5</v>
      </c>
      <c r="G32" s="43">
        <f>SUMIF('Entrada AR'!$E$8:$E$43,'Reliquidación AR'!$B32,'Entrada AR'!J$8:J$43)</f>
        <v>18122063.354840118</v>
      </c>
      <c r="H32" s="43">
        <v>0</v>
      </c>
      <c r="I32" s="43">
        <f t="shared" si="2"/>
        <v>0</v>
      </c>
      <c r="J32" s="43">
        <v>0</v>
      </c>
      <c r="K32" s="43">
        <f t="shared" si="3"/>
        <v>0</v>
      </c>
      <c r="L32" s="43">
        <f>+'Reliquidación TD'!O32</f>
        <v>928.81308905731612</v>
      </c>
      <c r="M32" s="43">
        <f t="shared" si="0"/>
        <v>18122063.354840118</v>
      </c>
      <c r="N32" s="43">
        <f t="shared" si="4"/>
        <v>0</v>
      </c>
      <c r="O32" s="43">
        <f t="shared" si="5"/>
        <v>18122063.354840118</v>
      </c>
      <c r="P32" s="43">
        <f t="shared" si="1"/>
        <v>-17858980.865935817</v>
      </c>
      <c r="Q32" s="43">
        <f t="shared" si="6"/>
        <v>263082.48890430108</v>
      </c>
      <c r="R32" s="43">
        <v>0</v>
      </c>
      <c r="S32" s="43">
        <f t="shared" si="7"/>
        <v>263082.48890430108</v>
      </c>
    </row>
    <row r="33" spans="2:19" x14ac:dyDescent="0.3">
      <c r="B33" s="42" t="s">
        <v>40</v>
      </c>
      <c r="C33" s="43">
        <f>SUMIF('Entrada AR'!$E$8:$E$43,'Reliquidación AR'!$B33,'Entrada AR'!F$8:F$43)</f>
        <v>965055.20000000007</v>
      </c>
      <c r="D33" s="43">
        <f>SUMIF('Entrada AR'!$E$8:$E$43,'Reliquidación AR'!$B33,'Entrada AR'!G$8:G$43)</f>
        <v>1955688.6</v>
      </c>
      <c r="E33" s="43">
        <f>SUMIF('Entrada AR'!$E$8:$E$43,'Reliquidación AR'!$B33,'Entrada AR'!H$8:H$43)</f>
        <v>31979</v>
      </c>
      <c r="F33" s="43">
        <f>SUMIF('Entrada AR'!$E$8:$E$43,'Reliquidación AR'!$B33,'Entrada AR'!I$8:I$43)</f>
        <v>78519.100000000006</v>
      </c>
      <c r="G33" s="43">
        <f>SUMIF('Entrada AR'!$E$8:$E$43,'Reliquidación AR'!$B33,'Entrada AR'!J$8:J$43)</f>
        <v>199565.62361331881</v>
      </c>
      <c r="H33" s="43">
        <v>0</v>
      </c>
      <c r="I33" s="43">
        <f t="shared" si="2"/>
        <v>0</v>
      </c>
      <c r="J33" s="43">
        <v>0</v>
      </c>
      <c r="K33" s="43">
        <f t="shared" si="3"/>
        <v>0</v>
      </c>
      <c r="L33" s="43">
        <f>+'Reliquidación TD'!O33</f>
        <v>258.83384766788583</v>
      </c>
      <c r="M33" s="43">
        <f t="shared" si="0"/>
        <v>199565.62361331881</v>
      </c>
      <c r="N33" s="43">
        <f t="shared" si="4"/>
        <v>0</v>
      </c>
      <c r="O33" s="43">
        <f t="shared" si="5"/>
        <v>199565.62361331881</v>
      </c>
      <c r="P33" s="43">
        <f t="shared" si="1"/>
        <v>-196668.47995302427</v>
      </c>
      <c r="Q33" s="43">
        <f t="shared" si="6"/>
        <v>2897.1436602945323</v>
      </c>
      <c r="R33" s="43">
        <v>0</v>
      </c>
      <c r="S33" s="43">
        <f t="shared" si="7"/>
        <v>2897.1436602945323</v>
      </c>
    </row>
    <row r="34" spans="2:19" x14ac:dyDescent="0.3">
      <c r="B34" s="42" t="s">
        <v>41</v>
      </c>
      <c r="C34" s="43">
        <f>SUMIF('Entrada AR'!$E$8:$E$43,'Reliquidación AR'!$B34,'Entrada AR'!F$8:F$43)</f>
        <v>1334873.7</v>
      </c>
      <c r="D34" s="43">
        <f>SUMIF('Entrada AR'!$E$8:$E$43,'Reliquidación AR'!$B34,'Entrada AR'!G$8:G$43)</f>
        <v>10186127.682399999</v>
      </c>
      <c r="E34" s="43">
        <f>SUMIF('Entrada AR'!$E$8:$E$43,'Reliquidación AR'!$B34,'Entrada AR'!H$8:H$43)</f>
        <v>6799</v>
      </c>
      <c r="F34" s="43">
        <f>SUMIF('Entrada AR'!$E$8:$E$43,'Reliquidación AR'!$B34,'Entrada AR'!I$8:I$43)</f>
        <v>28421</v>
      </c>
      <c r="G34" s="43">
        <f>SUMIF('Entrada AR'!$E$8:$E$43,'Reliquidación AR'!$B34,'Entrada AR'!J$8:J$43)</f>
        <v>974106.15534111124</v>
      </c>
      <c r="H34" s="43">
        <v>0</v>
      </c>
      <c r="I34" s="43">
        <f t="shared" si="2"/>
        <v>0</v>
      </c>
      <c r="J34" s="43">
        <v>0</v>
      </c>
      <c r="K34" s="43">
        <f t="shared" si="3"/>
        <v>0</v>
      </c>
      <c r="L34" s="43">
        <f>+'Reliquidación TD'!O34</f>
        <v>-2002.4275479515261</v>
      </c>
      <c r="M34" s="43">
        <f t="shared" si="0"/>
        <v>974106.15534111124</v>
      </c>
      <c r="N34" s="43">
        <f t="shared" si="4"/>
        <v>0</v>
      </c>
      <c r="O34" s="43">
        <f t="shared" si="5"/>
        <v>974106.15534111124</v>
      </c>
      <c r="P34" s="43">
        <f t="shared" si="1"/>
        <v>-959964.81465676299</v>
      </c>
      <c r="Q34" s="43">
        <f t="shared" si="6"/>
        <v>14141.340684348252</v>
      </c>
      <c r="R34" s="43">
        <v>0</v>
      </c>
      <c r="S34" s="43">
        <f t="shared" si="7"/>
        <v>14141.340684348252</v>
      </c>
    </row>
    <row r="35" spans="2:19" x14ac:dyDescent="0.3">
      <c r="B35" s="42" t="s">
        <v>42</v>
      </c>
      <c r="C35" s="43">
        <f>SUMIF('Entrada AR'!$E$8:$E$43,'Reliquidación AR'!$B35,'Entrada AR'!F$8:F$43)</f>
        <v>1944676.7</v>
      </c>
      <c r="D35" s="43">
        <f>SUMIF('Entrada AR'!$E$8:$E$43,'Reliquidación AR'!$B35,'Entrada AR'!G$8:G$43)</f>
        <v>6762805.0692999996</v>
      </c>
      <c r="E35" s="43">
        <f>SUMIF('Entrada AR'!$E$8:$E$43,'Reliquidación AR'!$B35,'Entrada AR'!H$8:H$43)</f>
        <v>321051.90000000002</v>
      </c>
      <c r="F35" s="43">
        <f>SUMIF('Entrada AR'!$E$8:$E$43,'Reliquidación AR'!$B35,'Entrada AR'!I$8:I$43)</f>
        <v>17759.500100000001</v>
      </c>
      <c r="G35" s="43">
        <f>SUMIF('Entrada AR'!$E$8:$E$43,'Reliquidación AR'!$B35,'Entrada AR'!J$8:J$43)</f>
        <v>686338.14572346653</v>
      </c>
      <c r="H35" s="43">
        <v>0</v>
      </c>
      <c r="I35" s="43">
        <f t="shared" si="2"/>
        <v>0</v>
      </c>
      <c r="J35" s="43">
        <v>0</v>
      </c>
      <c r="K35" s="43">
        <f t="shared" si="3"/>
        <v>0</v>
      </c>
      <c r="L35" s="43">
        <f>+'Reliquidación TD'!O35</f>
        <v>3.519332096214868</v>
      </c>
      <c r="M35" s="43">
        <f t="shared" si="0"/>
        <v>686338.14572346653</v>
      </c>
      <c r="N35" s="43">
        <f t="shared" si="4"/>
        <v>0</v>
      </c>
      <c r="O35" s="43">
        <f t="shared" si="5"/>
        <v>686338.14572346653</v>
      </c>
      <c r="P35" s="43">
        <f t="shared" si="1"/>
        <v>-676374.4046156602</v>
      </c>
      <c r="Q35" s="43">
        <f t="shared" si="6"/>
        <v>9963.7411078063305</v>
      </c>
      <c r="R35" s="43">
        <v>0</v>
      </c>
      <c r="S35" s="43">
        <f t="shared" si="7"/>
        <v>9963.7411078063305</v>
      </c>
    </row>
    <row r="36" spans="2:19" x14ac:dyDescent="0.3">
      <c r="B36" s="42" t="s">
        <v>43</v>
      </c>
      <c r="C36" s="43">
        <f>SUMIF('Entrada AR'!$E$8:$E$43,'Reliquidación AR'!$B36,'Entrada AR'!F$8:F$43)</f>
        <v>1579257.0001000001</v>
      </c>
      <c r="D36" s="43">
        <f>SUMIF('Entrada AR'!$E$8:$E$43,'Reliquidación AR'!$B36,'Entrada AR'!G$8:G$43)</f>
        <v>4465484.6717999997</v>
      </c>
      <c r="E36" s="43">
        <f>SUMIF('Entrada AR'!$E$8:$E$43,'Reliquidación AR'!$B36,'Entrada AR'!H$8:H$43)</f>
        <v>452815</v>
      </c>
      <c r="F36" s="43">
        <f>SUMIF('Entrada AR'!$E$8:$E$43,'Reliquidación AR'!$B36,'Entrada AR'!I$8:I$43)</f>
        <v>41824</v>
      </c>
      <c r="G36" s="43">
        <f>SUMIF('Entrada AR'!$E$8:$E$43,'Reliquidación AR'!$B36,'Entrada AR'!J$8:J$43)</f>
        <v>367068.35555351689</v>
      </c>
      <c r="H36" s="43">
        <v>0</v>
      </c>
      <c r="I36" s="43">
        <f t="shared" si="2"/>
        <v>0</v>
      </c>
      <c r="J36" s="43">
        <v>0</v>
      </c>
      <c r="K36" s="43">
        <f t="shared" si="3"/>
        <v>0</v>
      </c>
      <c r="L36" s="43">
        <f>+'Reliquidación TD'!O36</f>
        <v>-15920.450369537031</v>
      </c>
      <c r="M36" s="43">
        <f t="shared" si="0"/>
        <v>367068.35555351689</v>
      </c>
      <c r="N36" s="43">
        <f t="shared" si="4"/>
        <v>0</v>
      </c>
      <c r="O36" s="43">
        <f t="shared" si="5"/>
        <v>367068.35555351689</v>
      </c>
      <c r="P36" s="43">
        <f t="shared" si="1"/>
        <v>-361739.53318455437</v>
      </c>
      <c r="Q36" s="43">
        <f t="shared" si="6"/>
        <v>5328.8223689625156</v>
      </c>
      <c r="R36" s="43">
        <v>0</v>
      </c>
      <c r="S36" s="43">
        <f t="shared" si="7"/>
        <v>5328.8223689625156</v>
      </c>
    </row>
    <row r="37" spans="2:19" x14ac:dyDescent="0.3">
      <c r="B37" s="42" t="s">
        <v>45</v>
      </c>
      <c r="C37" s="43">
        <f>SUMIF('Entrada AR'!$E$8:$E$43,'Reliquidación AR'!$B37,'Entrada AR'!F$8:F$43)</f>
        <v>476010</v>
      </c>
      <c r="D37" s="43">
        <f>SUMIF('Entrada AR'!$E$8:$E$43,'Reliquidación AR'!$B37,'Entrada AR'!G$8:G$43)</f>
        <v>960144</v>
      </c>
      <c r="E37" s="43">
        <f>SUMIF('Entrada AR'!$E$8:$E$43,'Reliquidación AR'!$B37,'Entrada AR'!H$8:H$43)</f>
        <v>29248</v>
      </c>
      <c r="F37" s="43">
        <f>SUMIF('Entrada AR'!$E$8:$E$43,'Reliquidación AR'!$B37,'Entrada AR'!I$8:I$43)</f>
        <v>7810.9999999999991</v>
      </c>
      <c r="G37" s="43">
        <f>SUMIF('Entrada AR'!$E$8:$E$43,'Reliquidación AR'!$B37,'Entrada AR'!J$8:J$43)</f>
        <v>108526.2629082023</v>
      </c>
      <c r="H37" s="43">
        <v>0</v>
      </c>
      <c r="I37" s="43">
        <f t="shared" si="2"/>
        <v>0</v>
      </c>
      <c r="J37" s="43">
        <v>0</v>
      </c>
      <c r="K37" s="43">
        <f t="shared" si="3"/>
        <v>0</v>
      </c>
      <c r="L37" s="43">
        <f>+'Reliquidación TD'!O37</f>
        <v>0</v>
      </c>
      <c r="M37" s="43">
        <f t="shared" si="0"/>
        <v>108526.2629082023</v>
      </c>
      <c r="N37" s="43">
        <f t="shared" si="4"/>
        <v>0</v>
      </c>
      <c r="O37" s="43">
        <f t="shared" si="5"/>
        <v>108526.2629082023</v>
      </c>
      <c r="P37" s="43">
        <f t="shared" si="1"/>
        <v>-106950.76022959883</v>
      </c>
      <c r="Q37" s="43">
        <f t="shared" si="6"/>
        <v>1575.5026786034723</v>
      </c>
      <c r="R37" s="43">
        <v>0</v>
      </c>
      <c r="S37" s="43">
        <f t="shared" si="7"/>
        <v>1575.5026786034723</v>
      </c>
    </row>
    <row r="38" spans="2:19" x14ac:dyDescent="0.3">
      <c r="B38" s="42" t="s">
        <v>46</v>
      </c>
      <c r="C38" s="43">
        <f>SUMIF('Entrada AR'!$E$8:$E$43,'Reliquidación AR'!$B38,'Entrada AR'!F$8:F$43)</f>
        <v>4606619.6179999998</v>
      </c>
      <c r="D38" s="43">
        <f>SUMIF('Entrada AR'!$E$8:$E$43,'Reliquidación AR'!$B38,'Entrada AR'!G$8:G$43)</f>
        <v>17085954.833999999</v>
      </c>
      <c r="E38" s="43">
        <f>SUMIF('Entrada AR'!$E$8:$E$43,'Reliquidación AR'!$B38,'Entrada AR'!H$8:H$43)</f>
        <v>20098.5</v>
      </c>
      <c r="F38" s="43">
        <f>SUMIF('Entrada AR'!$E$8:$E$43,'Reliquidación AR'!$B38,'Entrada AR'!I$8:I$43)</f>
        <v>26831.017</v>
      </c>
      <c r="G38" s="43">
        <f>SUMIF('Entrada AR'!$E$8:$E$43,'Reliquidación AR'!$B38,'Entrada AR'!J$8:J$43)</f>
        <v>1420127.5851320331</v>
      </c>
      <c r="H38" s="43">
        <v>0</v>
      </c>
      <c r="I38" s="43">
        <f t="shared" si="2"/>
        <v>0</v>
      </c>
      <c r="J38" s="43">
        <v>0</v>
      </c>
      <c r="K38" s="43">
        <f t="shared" si="3"/>
        <v>0</v>
      </c>
      <c r="L38" s="43">
        <f>+'Reliquidación TD'!O38</f>
        <v>1000.6906899454219</v>
      </c>
      <c r="M38" s="43">
        <f t="shared" si="0"/>
        <v>1420127.5851320331</v>
      </c>
      <c r="N38" s="43">
        <f>IF(M38&lt;0,-M38,0)</f>
        <v>0</v>
      </c>
      <c r="O38" s="43">
        <f>IF(M38&gt;0,M38,0)</f>
        <v>1420127.5851320331</v>
      </c>
      <c r="P38" s="43">
        <f t="shared" si="1"/>
        <v>-1399511.2407156893</v>
      </c>
      <c r="Q38" s="43">
        <f t="shared" si="6"/>
        <v>20616.34441634384</v>
      </c>
      <c r="R38" s="43">
        <v>0</v>
      </c>
      <c r="S38" s="43">
        <f t="shared" si="7"/>
        <v>20616.34441634384</v>
      </c>
    </row>
    <row r="39" spans="2:19" x14ac:dyDescent="0.3">
      <c r="B39" s="42" t="s">
        <v>47</v>
      </c>
      <c r="C39" s="43">
        <f>SUMIF('Entrada AR'!$E$8:$E$43,'Reliquidación AR'!$B39,'Entrada AR'!F$8:F$43)</f>
        <v>6151912.9299999997</v>
      </c>
      <c r="D39" s="43">
        <f>SUMIF('Entrada AR'!$E$8:$E$43,'Reliquidación AR'!$B39,'Entrada AR'!G$8:G$43)</f>
        <v>27401454.534000002</v>
      </c>
      <c r="E39" s="43">
        <f>SUMIF('Entrada AR'!$E$8:$E$43,'Reliquidación AR'!$B39,'Entrada AR'!H$8:H$43)</f>
        <v>26322.780999999999</v>
      </c>
      <c r="F39" s="43">
        <f>SUMIF('Entrada AR'!$E$8:$E$43,'Reliquidación AR'!$B39,'Entrada AR'!I$8:I$43)</f>
        <v>13555.007</v>
      </c>
      <c r="G39" s="43">
        <f>SUMIF('Entrada AR'!$E$8:$E$43,'Reliquidación AR'!$B39,'Entrada AR'!J$8:J$43)</f>
        <v>3121551.1871553529</v>
      </c>
      <c r="H39" s="43">
        <v>0</v>
      </c>
      <c r="I39" s="43">
        <f t="shared" si="2"/>
        <v>0</v>
      </c>
      <c r="J39" s="43">
        <v>0</v>
      </c>
      <c r="K39" s="43">
        <f t="shared" si="3"/>
        <v>0</v>
      </c>
      <c r="L39" s="43">
        <f>+'Reliquidación TD'!O39</f>
        <v>-71907.203995145115</v>
      </c>
      <c r="M39" s="43">
        <f t="shared" si="0"/>
        <v>3121551.1871553529</v>
      </c>
      <c r="N39" s="43">
        <f t="shared" si="4"/>
        <v>0</v>
      </c>
      <c r="O39" s="43">
        <f t="shared" si="5"/>
        <v>3121551.1871553529</v>
      </c>
      <c r="P39" s="43">
        <f t="shared" si="1"/>
        <v>-3076234.8542699111</v>
      </c>
      <c r="Q39" s="43">
        <f t="shared" si="6"/>
        <v>45316.332885441836</v>
      </c>
      <c r="R39" s="43">
        <v>0</v>
      </c>
      <c r="S39" s="43">
        <f t="shared" si="7"/>
        <v>45316.332885441836</v>
      </c>
    </row>
    <row r="40" spans="2:19" x14ac:dyDescent="0.3">
      <c r="B40" s="42" t="s">
        <v>48</v>
      </c>
      <c r="C40" s="43">
        <f>SUMIF('Entrada AR'!$E$8:$E$43,'Reliquidación AR'!$B40,'Entrada AR'!F$8:F$43)</f>
        <v>15361392.927999999</v>
      </c>
      <c r="D40" s="43">
        <f>SUMIF('Entrada AR'!$E$8:$E$43,'Reliquidación AR'!$B40,'Entrada AR'!G$8:G$43)</f>
        <v>53882088.978</v>
      </c>
      <c r="E40" s="43">
        <f>SUMIF('Entrada AR'!$E$8:$E$43,'Reliquidación AR'!$B40,'Entrada AR'!H$8:H$43)</f>
        <v>52005.78</v>
      </c>
      <c r="F40" s="43">
        <f>SUMIF('Entrada AR'!$E$8:$E$43,'Reliquidación AR'!$B40,'Entrada AR'!I$8:I$43)</f>
        <v>42190.247000000003</v>
      </c>
      <c r="G40" s="43">
        <f>SUMIF('Entrada AR'!$E$8:$E$43,'Reliquidación AR'!$B40,'Entrada AR'!J$8:J$43)</f>
        <v>6386644.241654247</v>
      </c>
      <c r="H40" s="43">
        <v>0</v>
      </c>
      <c r="I40" s="43">
        <f t="shared" si="2"/>
        <v>0</v>
      </c>
      <c r="J40" s="43">
        <v>0</v>
      </c>
      <c r="K40" s="43">
        <f t="shared" si="3"/>
        <v>0</v>
      </c>
      <c r="L40" s="43">
        <f>+'Reliquidación TD'!O40</f>
        <v>12055.595988699964</v>
      </c>
      <c r="M40" s="43">
        <f t="shared" si="0"/>
        <v>6386644.241654247</v>
      </c>
      <c r="N40" s="43">
        <f t="shared" si="4"/>
        <v>0</v>
      </c>
      <c r="O40" s="43">
        <f t="shared" si="5"/>
        <v>6386644.241654247</v>
      </c>
      <c r="P40" s="43">
        <f t="shared" si="1"/>
        <v>-6293927.7429895429</v>
      </c>
      <c r="Q40" s="43">
        <f t="shared" si="6"/>
        <v>92716.498664704151</v>
      </c>
      <c r="R40" s="43">
        <v>0</v>
      </c>
      <c r="S40" s="43">
        <f t="shared" si="7"/>
        <v>92716.498664704151</v>
      </c>
    </row>
    <row r="41" spans="2:19" x14ac:dyDescent="0.3">
      <c r="B41" s="42" t="s">
        <v>49</v>
      </c>
      <c r="C41" s="43">
        <f>SUMIF('Entrada AR'!$E$8:$E$43,'Reliquidación AR'!$B41,'Entrada AR'!F$8:F$43)</f>
        <v>0</v>
      </c>
      <c r="D41" s="43">
        <f>SUMIF('Entrada AR'!$E$8:$E$43,'Reliquidación AR'!$B41,'Entrada AR'!G$8:G$43)</f>
        <v>0</v>
      </c>
      <c r="E41" s="43">
        <f>SUMIF('Entrada AR'!$E$8:$E$43,'Reliquidación AR'!$B41,'Entrada AR'!H$8:H$43)</f>
        <v>0</v>
      </c>
      <c r="F41" s="43">
        <f>SUMIF('Entrada AR'!$E$8:$E$43,'Reliquidación AR'!$B41,'Entrada AR'!I$8:I$43)</f>
        <v>0</v>
      </c>
      <c r="G41" s="43">
        <f>SUMIF('Entrada AR'!$E$8:$E$43,'Reliquidación AR'!$B41,'Entrada AR'!J$8:J$43)</f>
        <v>0</v>
      </c>
      <c r="H41" s="43">
        <v>0</v>
      </c>
      <c r="I41" s="43">
        <f>H41*($I$4+1)</f>
        <v>0</v>
      </c>
      <c r="J41" s="43">
        <v>0</v>
      </c>
      <c r="K41" s="43">
        <f t="shared" si="3"/>
        <v>0</v>
      </c>
      <c r="L41" s="43">
        <f>+'Reliquidación TD'!O41</f>
        <v>0</v>
      </c>
      <c r="M41" s="43">
        <f t="shared" si="0"/>
        <v>0</v>
      </c>
      <c r="N41" s="43">
        <f>IF(M41&lt;0,-M41,0)</f>
        <v>0</v>
      </c>
      <c r="O41" s="43">
        <f>IF(M41&gt;0,M41,0)</f>
        <v>0</v>
      </c>
      <c r="P41" s="43">
        <f t="shared" si="1"/>
        <v>0</v>
      </c>
      <c r="Q41" s="43">
        <f>M41+P41</f>
        <v>0</v>
      </c>
      <c r="R41" s="43">
        <v>0</v>
      </c>
      <c r="S41" s="43">
        <f t="shared" si="7"/>
        <v>0</v>
      </c>
    </row>
    <row r="42" spans="2:19" x14ac:dyDescent="0.3">
      <c r="B42" s="42" t="s">
        <v>50</v>
      </c>
      <c r="C42" s="43">
        <f>SUMIF('Entrada AR'!$E$8:$E$43,'Reliquidación AR'!$B42,'Entrada AR'!F$8:F$43)</f>
        <v>0</v>
      </c>
      <c r="D42" s="43">
        <f>SUMIF('Entrada AR'!$E$8:$E$43,'Reliquidación AR'!$B42,'Entrada AR'!G$8:G$43)</f>
        <v>14866</v>
      </c>
      <c r="E42" s="43">
        <f>SUMIF('Entrada AR'!$E$8:$E$43,'Reliquidación AR'!$B42,'Entrada AR'!H$8:H$43)</f>
        <v>0</v>
      </c>
      <c r="F42" s="43">
        <f>SUMIF('Entrada AR'!$E$8:$E$43,'Reliquidación AR'!$B42,'Entrada AR'!I$8:I$43)</f>
        <v>0</v>
      </c>
      <c r="G42" s="43">
        <f>SUMIF('Entrada AR'!$E$8:$E$43,'Reliquidación AR'!$B42,'Entrada AR'!J$8:J$43)</f>
        <v>1010.649707610968</v>
      </c>
      <c r="H42" s="43">
        <v>0</v>
      </c>
      <c r="I42" s="43">
        <f>H42*($I$4+1)</f>
        <v>0</v>
      </c>
      <c r="J42" s="43">
        <v>0</v>
      </c>
      <c r="K42" s="43">
        <f t="shared" si="3"/>
        <v>0</v>
      </c>
      <c r="L42" s="43">
        <f>+'Reliquidación TD'!O42</f>
        <v>0</v>
      </c>
      <c r="M42" s="43">
        <f t="shared" si="0"/>
        <v>1010.649707610968</v>
      </c>
      <c r="N42" s="43">
        <f>IF(M42&lt;0,-M42,0)</f>
        <v>0</v>
      </c>
      <c r="O42" s="43">
        <f>IF(M42&gt;0,M42,0)</f>
        <v>1010.649707610968</v>
      </c>
      <c r="P42" s="43">
        <f t="shared" si="1"/>
        <v>-995.97785511368147</v>
      </c>
      <c r="Q42" s="43">
        <f>M42+P42</f>
        <v>14.671852497286523</v>
      </c>
      <c r="R42" s="43">
        <v>0</v>
      </c>
      <c r="S42" s="43">
        <f t="shared" si="7"/>
        <v>14.671852497286523</v>
      </c>
    </row>
    <row r="43" spans="2:19" x14ac:dyDescent="0.3">
      <c r="B43" s="44" t="s">
        <v>51</v>
      </c>
      <c r="C43" s="45">
        <f>SUMIF('Entrada AR'!$E$8:$E$43,'Reliquidación AR'!$B43,'Entrada AR'!F$8:F$43)</f>
        <v>32785.800000000003</v>
      </c>
      <c r="D43" s="45">
        <f>SUMIF('Entrada AR'!$E$8:$E$43,'Reliquidación AR'!$B43,'Entrada AR'!G$8:G$43)</f>
        <v>63849.4</v>
      </c>
      <c r="E43" s="45">
        <f>SUMIF('Entrada AR'!$E$8:$E$43,'Reliquidación AR'!$B43,'Entrada AR'!H$8:H$43)</f>
        <v>0</v>
      </c>
      <c r="F43" s="45">
        <f>SUMIF('Entrada AR'!$E$8:$E$43,'Reliquidación AR'!$B43,'Entrada AR'!I$8:I$43)</f>
        <v>0</v>
      </c>
      <c r="G43" s="45">
        <f>SUMIF('Entrada AR'!$E$8:$E$43,'Reliquidación AR'!$B43,'Entrada AR'!J$8:J$43)</f>
        <v>6249.3387765818516</v>
      </c>
      <c r="H43" s="45">
        <v>0</v>
      </c>
      <c r="I43" s="45">
        <f>H43*($I$4+1)</f>
        <v>0</v>
      </c>
      <c r="J43" s="45">
        <v>0</v>
      </c>
      <c r="K43" s="45">
        <f t="shared" si="3"/>
        <v>0</v>
      </c>
      <c r="L43" s="45">
        <f>+'Reliquidación TD'!O43</f>
        <v>0</v>
      </c>
      <c r="M43" s="45">
        <f t="shared" si="0"/>
        <v>6249.3387765818516</v>
      </c>
      <c r="N43" s="45">
        <f t="shared" si="4"/>
        <v>0</v>
      </c>
      <c r="O43" s="45">
        <f t="shared" si="5"/>
        <v>6249.3387765818516</v>
      </c>
      <c r="P43" s="45">
        <f>IF(OR($N$44=0,$O$44=0),0,(N43/$N$44-O43/$O$44)*$O$49)</f>
        <v>-6158.6155754122574</v>
      </c>
      <c r="Q43" s="45">
        <f t="shared" si="6"/>
        <v>90.723201169594176</v>
      </c>
      <c r="R43" s="45">
        <v>0</v>
      </c>
      <c r="S43" s="45">
        <f t="shared" si="7"/>
        <v>90.723201169594176</v>
      </c>
    </row>
    <row r="44" spans="2:19" x14ac:dyDescent="0.3">
      <c r="B44" s="46" t="s">
        <v>66</v>
      </c>
      <c r="C44" s="16">
        <f t="shared" ref="C44:Q44" si="8">SUM(C9:C43)</f>
        <v>437574210.52950925</v>
      </c>
      <c r="D44" s="16">
        <f t="shared" si="8"/>
        <v>1798945383.7520473</v>
      </c>
      <c r="E44" s="16">
        <f t="shared" si="8"/>
        <v>11167198.16</v>
      </c>
      <c r="F44" s="16">
        <f t="shared" si="8"/>
        <v>2968546.9511000002</v>
      </c>
      <c r="G44" s="16">
        <f t="shared" si="8"/>
        <v>2010088.3337196058</v>
      </c>
      <c r="H44" s="16">
        <f t="shared" si="8"/>
        <v>0</v>
      </c>
      <c r="I44" s="16">
        <f t="shared" si="8"/>
        <v>0</v>
      </c>
      <c r="J44" s="16">
        <f t="shared" si="8"/>
        <v>0</v>
      </c>
      <c r="K44" s="16">
        <f t="shared" si="8"/>
        <v>0</v>
      </c>
      <c r="L44" s="16">
        <f t="shared" si="8"/>
        <v>1.546140993013978E-10</v>
      </c>
      <c r="M44" s="16">
        <f>SUM(M9:M43)</f>
        <v>2010088.3337196058</v>
      </c>
      <c r="N44" s="16">
        <f t="shared" si="8"/>
        <v>136451989.79320067</v>
      </c>
      <c r="O44" s="16">
        <f>SUM(O9:O43)</f>
        <v>138462078.12692028</v>
      </c>
      <c r="P44" s="16">
        <f t="shared" si="8"/>
        <v>-5.9035301092080772E-9</v>
      </c>
      <c r="Q44" s="16">
        <f t="shared" si="8"/>
        <v>2010088.3337196086</v>
      </c>
      <c r="R44" s="16">
        <f t="shared" ref="R44:S44" si="9">SUM(R9:R43)</f>
        <v>0</v>
      </c>
      <c r="S44" s="16">
        <f t="shared" si="9"/>
        <v>2010088.3337196086</v>
      </c>
    </row>
    <row r="45" spans="2:19" x14ac:dyDescent="0.3">
      <c r="B45" s="50"/>
      <c r="C45"/>
      <c r="D45"/>
      <c r="E45"/>
      <c r="F45"/>
      <c r="G45"/>
      <c r="H45"/>
      <c r="I45"/>
      <c r="J45"/>
      <c r="K45"/>
      <c r="L45"/>
      <c r="M45"/>
      <c r="N45" s="51"/>
      <c r="O45" s="51"/>
      <c r="P45"/>
    </row>
    <row r="46" spans="2:19" x14ac:dyDescent="0.3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2:19" x14ac:dyDescent="0.3">
      <c r="B47"/>
      <c r="C47"/>
      <c r="H47" s="58"/>
      <c r="I47" s="17"/>
      <c r="J47" s="17"/>
      <c r="K47" s="17"/>
      <c r="L47" s="17"/>
      <c r="M47" s="17"/>
      <c r="N47" s="7" t="s">
        <v>75</v>
      </c>
      <c r="O47" s="53">
        <f>O44</f>
        <v>138462078.12692028</v>
      </c>
      <c r="P47"/>
    </row>
    <row r="48" spans="2:19" x14ac:dyDescent="0.3">
      <c r="B48"/>
      <c r="C48"/>
      <c r="H48" s="52"/>
      <c r="I48" s="17"/>
      <c r="J48" s="17"/>
      <c r="K48" s="17"/>
      <c r="L48" s="17"/>
      <c r="M48" s="17"/>
      <c r="N48" s="7" t="s">
        <v>76</v>
      </c>
      <c r="O48" s="53">
        <f>N44</f>
        <v>136451989.79320067</v>
      </c>
      <c r="P48"/>
      <c r="Q48" s="54"/>
    </row>
    <row r="49" spans="2:17" x14ac:dyDescent="0.3">
      <c r="B49"/>
      <c r="C49"/>
      <c r="H49" s="52"/>
      <c r="I49"/>
      <c r="J49"/>
      <c r="K49"/>
      <c r="L49"/>
      <c r="M49"/>
      <c r="N49" s="7" t="s">
        <v>69</v>
      </c>
      <c r="O49" s="53">
        <f>+IF(O48&lt;O47,O48,O47)</f>
        <v>136451989.79320067</v>
      </c>
      <c r="P49"/>
      <c r="Q49" s="54"/>
    </row>
    <row r="50" spans="2:17" x14ac:dyDescent="0.3">
      <c r="B50"/>
      <c r="N50" s="17"/>
      <c r="O50"/>
    </row>
    <row r="51" spans="2:17" x14ac:dyDescent="0.3">
      <c r="B51"/>
      <c r="G51" s="54"/>
      <c r="J51"/>
    </row>
    <row r="52" spans="2:17" x14ac:dyDescent="0.3">
      <c r="B52"/>
    </row>
    <row r="53" spans="2:17" x14ac:dyDescent="0.3">
      <c r="B53"/>
    </row>
    <row r="54" spans="2:17" x14ac:dyDescent="0.3">
      <c r="B54"/>
    </row>
    <row r="55" spans="2:17" x14ac:dyDescent="0.3">
      <c r="B55"/>
    </row>
    <row r="56" spans="2:17" x14ac:dyDescent="0.3">
      <c r="B56"/>
    </row>
    <row r="57" spans="2:17" x14ac:dyDescent="0.3">
      <c r="B57"/>
    </row>
    <row r="58" spans="2:17" x14ac:dyDescent="0.3">
      <c r="B58"/>
    </row>
    <row r="59" spans="2:17" x14ac:dyDescent="0.3">
      <c r="B59"/>
    </row>
    <row r="60" spans="2:17" x14ac:dyDescent="0.3">
      <c r="B60"/>
    </row>
    <row r="61" spans="2:17" x14ac:dyDescent="0.3">
      <c r="B61"/>
    </row>
    <row r="62" spans="2:17" x14ac:dyDescent="0.3">
      <c r="B62"/>
    </row>
    <row r="63" spans="2:17" x14ac:dyDescent="0.3">
      <c r="B63"/>
    </row>
    <row r="64" spans="2:17" x14ac:dyDescent="0.3">
      <c r="B64"/>
    </row>
    <row r="65" spans="2:2" x14ac:dyDescent="0.3">
      <c r="B65"/>
    </row>
    <row r="66" spans="2:2" x14ac:dyDescent="0.3">
      <c r="B66"/>
    </row>
    <row r="67" spans="2:2" x14ac:dyDescent="0.3">
      <c r="B67"/>
    </row>
    <row r="68" spans="2:2" x14ac:dyDescent="0.3">
      <c r="B68"/>
    </row>
    <row r="69" spans="2:2" x14ac:dyDescent="0.3">
      <c r="B69"/>
    </row>
    <row r="70" spans="2:2" x14ac:dyDescent="0.3">
      <c r="B70"/>
    </row>
    <row r="71" spans="2:2" x14ac:dyDescent="0.3">
      <c r="B71"/>
    </row>
    <row r="72" spans="2:2" x14ac:dyDescent="0.3">
      <c r="B72"/>
    </row>
    <row r="73" spans="2:2" x14ac:dyDescent="0.3">
      <c r="B73"/>
    </row>
    <row r="74" spans="2:2" x14ac:dyDescent="0.3">
      <c r="B74"/>
    </row>
    <row r="75" spans="2:2" x14ac:dyDescent="0.3">
      <c r="B75"/>
    </row>
    <row r="76" spans="2:2" x14ac:dyDescent="0.3">
      <c r="B76"/>
    </row>
    <row r="77" spans="2:2" x14ac:dyDescent="0.3">
      <c r="B77"/>
    </row>
    <row r="78" spans="2:2" x14ac:dyDescent="0.3">
      <c r="B78"/>
    </row>
    <row r="79" spans="2:2" x14ac:dyDescent="0.3">
      <c r="B79"/>
    </row>
    <row r="80" spans="2:2" x14ac:dyDescent="0.3">
      <c r="B80"/>
    </row>
    <row r="81" spans="2:2" x14ac:dyDescent="0.3">
      <c r="B81"/>
    </row>
    <row r="82" spans="2:2" x14ac:dyDescent="0.3">
      <c r="B82"/>
    </row>
    <row r="83" spans="2:2" x14ac:dyDescent="0.3">
      <c r="B83"/>
    </row>
    <row r="84" spans="2:2" x14ac:dyDescent="0.3">
      <c r="B84"/>
    </row>
    <row r="85" spans="2:2" x14ac:dyDescent="0.3">
      <c r="B85"/>
    </row>
    <row r="86" spans="2:2" x14ac:dyDescent="0.3">
      <c r="B86"/>
    </row>
    <row r="87" spans="2:2" x14ac:dyDescent="0.3">
      <c r="B87"/>
    </row>
    <row r="88" spans="2:2" x14ac:dyDescent="0.3">
      <c r="B88"/>
    </row>
    <row r="89" spans="2:2" x14ac:dyDescent="0.3">
      <c r="B89"/>
    </row>
    <row r="90" spans="2:2" x14ac:dyDescent="0.3">
      <c r="B90"/>
    </row>
    <row r="91" spans="2:2" x14ac:dyDescent="0.3">
      <c r="B91"/>
    </row>
    <row r="92" spans="2:2" x14ac:dyDescent="0.3">
      <c r="B92"/>
    </row>
    <row r="93" spans="2:2" x14ac:dyDescent="0.3">
      <c r="B93"/>
    </row>
    <row r="94" spans="2:2" x14ac:dyDescent="0.3">
      <c r="B94"/>
    </row>
    <row r="95" spans="2:2" x14ac:dyDescent="0.3">
      <c r="B95"/>
    </row>
    <row r="96" spans="2:2" x14ac:dyDescent="0.3">
      <c r="B96"/>
    </row>
    <row r="97" spans="2:2" x14ac:dyDescent="0.3">
      <c r="B97"/>
    </row>
    <row r="98" spans="2:2" x14ac:dyDescent="0.3">
      <c r="B98"/>
    </row>
    <row r="99" spans="2:2" x14ac:dyDescent="0.3">
      <c r="B99"/>
    </row>
    <row r="100" spans="2:2" x14ac:dyDescent="0.3">
      <c r="B100"/>
    </row>
    <row r="101" spans="2:2" x14ac:dyDescent="0.3">
      <c r="B101"/>
    </row>
    <row r="102" spans="2:2" x14ac:dyDescent="0.3">
      <c r="B102"/>
    </row>
    <row r="103" spans="2:2" x14ac:dyDescent="0.3">
      <c r="B103"/>
    </row>
    <row r="104" spans="2:2" x14ac:dyDescent="0.3">
      <c r="B104"/>
    </row>
    <row r="105" spans="2:2" x14ac:dyDescent="0.3">
      <c r="B105"/>
    </row>
    <row r="106" spans="2:2" x14ac:dyDescent="0.3">
      <c r="B106"/>
    </row>
    <row r="107" spans="2:2" x14ac:dyDescent="0.3">
      <c r="B107"/>
    </row>
    <row r="108" spans="2:2" x14ac:dyDescent="0.3">
      <c r="B108"/>
    </row>
    <row r="109" spans="2:2" x14ac:dyDescent="0.3">
      <c r="B109"/>
    </row>
    <row r="110" spans="2:2" x14ac:dyDescent="0.3">
      <c r="B110"/>
    </row>
    <row r="111" spans="2:2" x14ac:dyDescent="0.3">
      <c r="B111"/>
    </row>
    <row r="112" spans="2:2" x14ac:dyDescent="0.3">
      <c r="B112"/>
    </row>
    <row r="113" spans="2:2" x14ac:dyDescent="0.3">
      <c r="B113"/>
    </row>
    <row r="114" spans="2:2" x14ac:dyDescent="0.3">
      <c r="B114"/>
    </row>
  </sheetData>
  <dataConsolidate/>
  <mergeCells count="18">
    <mergeCell ref="N6:N7"/>
    <mergeCell ref="O6:O7"/>
    <mergeCell ref="P6:P7"/>
    <mergeCell ref="Q6:Q7"/>
    <mergeCell ref="R6:R7"/>
    <mergeCell ref="S6:S7"/>
    <mergeCell ref="H6:H7"/>
    <mergeCell ref="I6:I7"/>
    <mergeCell ref="J6:J7"/>
    <mergeCell ref="K6:K7"/>
    <mergeCell ref="L6:L7"/>
    <mergeCell ref="M6:M7"/>
    <mergeCell ref="B6:B8"/>
    <mergeCell ref="C6:C7"/>
    <mergeCell ref="D6:D7"/>
    <mergeCell ref="E6:E7"/>
    <mergeCell ref="F6:F7"/>
    <mergeCell ref="G6:G7"/>
  </mergeCells>
  <pageMargins left="0.75" right="0.75" top="1" bottom="1" header="0" footer="0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855C2-9FC3-4F73-8509-C185A5CDD7B4}">
  <sheetPr codeName="Hoja1">
    <tabColor theme="8" tint="0.59999389629810485"/>
  </sheetPr>
  <dimension ref="A2:V73"/>
  <sheetViews>
    <sheetView showGridLines="0" zoomScale="70" zoomScaleNormal="70" workbookViewId="0">
      <selection activeCell="I51" sqref="I51"/>
    </sheetView>
  </sheetViews>
  <sheetFormatPr baseColWidth="10" defaultColWidth="11.3984375" defaultRowHeight="13" x14ac:dyDescent="0.3"/>
  <cols>
    <col min="1" max="1" width="11.3984375" style="20"/>
    <col min="2" max="2" width="24" style="20" customWidth="1"/>
    <col min="3" max="3" width="17.59765625" style="20" customWidth="1"/>
    <col min="4" max="4" width="12.8984375" style="20" bestFit="1" customWidth="1"/>
    <col min="5" max="5" width="20" style="20" customWidth="1"/>
    <col min="6" max="6" width="18.296875" style="20" customWidth="1"/>
    <col min="7" max="7" width="20.09765625" style="20" customWidth="1"/>
    <col min="8" max="8" width="12.8984375" style="20" customWidth="1"/>
    <col min="9" max="9" width="15.59765625" style="20" customWidth="1"/>
    <col min="10" max="10" width="23.09765625" style="20" customWidth="1"/>
    <col min="11" max="11" width="20.09765625" style="20" customWidth="1"/>
    <col min="12" max="12" width="8" style="20" customWidth="1"/>
    <col min="13" max="13" width="15.09765625" style="20" customWidth="1"/>
    <col min="14" max="14" width="15.3984375" style="20" customWidth="1"/>
    <col min="15" max="15" width="16.59765625" style="20" customWidth="1"/>
    <col min="16" max="16" width="14.8984375" style="20" customWidth="1"/>
    <col min="17" max="17" width="20.296875" style="20" customWidth="1"/>
    <col min="18" max="18" width="15.09765625" style="20" customWidth="1"/>
    <col min="19" max="19" width="10.8984375" style="20" bestFit="1" customWidth="1"/>
    <col min="20" max="20" width="15.3984375" style="20" customWidth="1"/>
    <col min="21" max="21" width="12.8984375" style="20" customWidth="1"/>
    <col min="22" max="22" width="13.09765625" style="20" customWidth="1"/>
    <col min="23" max="16384" width="11.3984375" style="20"/>
  </cols>
  <sheetData>
    <row r="2" spans="1:19" x14ac:dyDescent="0.3">
      <c r="B2" s="25" t="s">
        <v>77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9" x14ac:dyDescent="0.3">
      <c r="B3" s="21">
        <f>FechaFacturacion</f>
        <v>45839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</row>
    <row r="6" spans="1:19" ht="12.75" customHeight="1" x14ac:dyDescent="0.3">
      <c r="B6" s="30" t="s">
        <v>6</v>
      </c>
      <c r="C6" s="29" t="s">
        <v>78</v>
      </c>
      <c r="D6" s="60"/>
      <c r="E6" s="29" t="s">
        <v>6</v>
      </c>
      <c r="F6" s="29" t="s">
        <v>79</v>
      </c>
      <c r="G6" s="29" t="s">
        <v>80</v>
      </c>
      <c r="H6" s="60"/>
      <c r="I6" s="29" t="s">
        <v>81</v>
      </c>
      <c r="J6" s="61" cm="1">
        <f t="array" ref="J6">SUMPRODUCT(($G$8:$G$32&gt;0)*($G$8:$G$32))</f>
        <v>136451989.79320067</v>
      </c>
      <c r="Q6" s="62"/>
      <c r="R6"/>
    </row>
    <row r="7" spans="1:19" ht="26.25" customHeight="1" x14ac:dyDescent="0.3">
      <c r="B7" s="30"/>
      <c r="C7" s="34"/>
      <c r="D7" s="60"/>
      <c r="E7" s="34"/>
      <c r="F7" s="34"/>
      <c r="G7" s="34"/>
      <c r="H7"/>
      <c r="I7" s="34"/>
      <c r="J7" s="63"/>
      <c r="P7"/>
      <c r="Q7"/>
      <c r="R7"/>
      <c r="S7"/>
    </row>
    <row r="8" spans="1:19" x14ac:dyDescent="0.3">
      <c r="B8" s="40" t="s">
        <v>14</v>
      </c>
      <c r="C8" s="41">
        <f>'Reliquidación AR'!$P9+'Reliquidación AR'!L9</f>
        <v>23194427.49647909</v>
      </c>
      <c r="D8" s="64"/>
      <c r="E8" s="40" t="s">
        <v>14</v>
      </c>
      <c r="F8" s="43">
        <v>0</v>
      </c>
      <c r="G8" s="43">
        <f>VLOOKUP(E8,$B$8:$C$42,2,0)+F8</f>
        <v>23194427.49647909</v>
      </c>
      <c r="H8" s="65"/>
      <c r="I8"/>
      <c r="P8"/>
      <c r="Q8"/>
      <c r="R8"/>
      <c r="S8"/>
    </row>
    <row r="9" spans="1:19" x14ac:dyDescent="0.3">
      <c r="B9" s="42" t="s">
        <v>15</v>
      </c>
      <c r="C9" s="43">
        <f>'Reliquidación AR'!$P10+'Reliquidación AR'!L10</f>
        <v>25690610.009841699</v>
      </c>
      <c r="D9" s="64"/>
      <c r="E9" s="42" t="s">
        <v>15</v>
      </c>
      <c r="F9" s="43">
        <v>0</v>
      </c>
      <c r="G9" s="43">
        <f>VLOOKUP(E9,$B$8:$C$42,2,0)+F9</f>
        <v>25690610.009841699</v>
      </c>
      <c r="H9" s="65"/>
      <c r="I9"/>
      <c r="P9"/>
      <c r="Q9"/>
      <c r="R9"/>
      <c r="S9"/>
    </row>
    <row r="10" spans="1:19" x14ac:dyDescent="0.3">
      <c r="B10" s="42" t="s">
        <v>16</v>
      </c>
      <c r="C10" s="43">
        <f>'Reliquidación AR'!$P11+'Reliquidación AR'!L11</f>
        <v>-582766.05034713983</v>
      </c>
      <c r="D10" s="64"/>
      <c r="E10" s="42" t="s">
        <v>16</v>
      </c>
      <c r="F10" s="43">
        <v>0</v>
      </c>
      <c r="G10" s="43">
        <f>VLOOKUP(E10,$B$8:$C$42,2,0)+F10</f>
        <v>-582766.05034713983</v>
      </c>
      <c r="H10" s="65"/>
      <c r="I10"/>
      <c r="P10"/>
      <c r="Q10"/>
      <c r="R10"/>
      <c r="S10"/>
    </row>
    <row r="11" spans="1:19" x14ac:dyDescent="0.3">
      <c r="B11" s="42" t="s">
        <v>17</v>
      </c>
      <c r="C11" s="43">
        <f>'Reliquidación AR'!$P12+'Reliquidación AR'!L12</f>
        <v>474520.71174357692</v>
      </c>
      <c r="D11" s="64"/>
      <c r="E11" s="42" t="s">
        <v>17</v>
      </c>
      <c r="F11" s="43">
        <v>0</v>
      </c>
      <c r="G11" s="43">
        <f>VLOOKUP(E11,$B$8:$C$42,2,0)+F11</f>
        <v>474520.71174357692</v>
      </c>
      <c r="H11" s="65"/>
      <c r="I11"/>
      <c r="O11"/>
      <c r="P11"/>
      <c r="Q11"/>
      <c r="R11"/>
      <c r="S11"/>
    </row>
    <row r="12" spans="1:19" x14ac:dyDescent="0.3">
      <c r="B12" s="42" t="s">
        <v>18</v>
      </c>
      <c r="C12" s="43">
        <f>'Reliquidación AR'!$P13+'Reliquidación AR'!L13</f>
        <v>-20420796.59872397</v>
      </c>
      <c r="D12" s="64"/>
      <c r="E12" s="42" t="s">
        <v>82</v>
      </c>
      <c r="F12" s="43">
        <v>0</v>
      </c>
      <c r="G12" s="43">
        <f>C12+C13+C14+C15+C16+C18+C19+C20+C37+C38+C39+F12</f>
        <v>-39140758.39063862</v>
      </c>
      <c r="H12" s="65"/>
      <c r="I12"/>
      <c r="O12"/>
      <c r="P12"/>
      <c r="Q12"/>
      <c r="R12"/>
      <c r="S12"/>
    </row>
    <row r="13" spans="1:19" x14ac:dyDescent="0.3">
      <c r="B13" s="42" t="s">
        <v>20</v>
      </c>
      <c r="C13" s="43">
        <f>'Reliquidación AR'!$P14+'Reliquidación AR'!L14</f>
        <v>-86141.184259613583</v>
      </c>
      <c r="D13" s="64"/>
      <c r="E13" s="42" t="s">
        <v>83</v>
      </c>
      <c r="F13" s="43">
        <v>0</v>
      </c>
      <c r="G13" s="43">
        <f>C17+F13</f>
        <v>-55544863.488492765</v>
      </c>
      <c r="H13" s="65"/>
      <c r="I13"/>
      <c r="O13"/>
      <c r="P13"/>
      <c r="Q13"/>
      <c r="R13"/>
      <c r="S13"/>
    </row>
    <row r="14" spans="1:19" x14ac:dyDescent="0.3">
      <c r="B14" s="42" t="s">
        <v>21</v>
      </c>
      <c r="C14" s="43">
        <f>'Reliquidación AR'!$P15+'Reliquidación AR'!L15</f>
        <v>-891921.73116620397</v>
      </c>
      <c r="D14" s="64"/>
      <c r="E14" s="42" t="s">
        <v>29</v>
      </c>
      <c r="F14" s="43">
        <v>0</v>
      </c>
      <c r="G14" s="43">
        <f t="shared" ref="G14:G32" si="0">VLOOKUP(E14,$B$8:$C$42,2,0)+F14</f>
        <v>63794901.424660377</v>
      </c>
      <c r="H14" s="65"/>
      <c r="I14"/>
      <c r="O14"/>
      <c r="P14"/>
      <c r="Q14"/>
      <c r="R14"/>
      <c r="S14"/>
    </row>
    <row r="15" spans="1:19" x14ac:dyDescent="0.3">
      <c r="B15" s="42" t="s">
        <v>22</v>
      </c>
      <c r="C15" s="43">
        <f>'Reliquidación AR'!$P16+'Reliquidación AR'!L16</f>
        <v>0</v>
      </c>
      <c r="D15" s="64"/>
      <c r="E15" s="42" t="s">
        <v>30</v>
      </c>
      <c r="F15" s="43">
        <v>0</v>
      </c>
      <c r="G15" s="43">
        <f t="shared" si="0"/>
        <v>-1282919.8618004494</v>
      </c>
      <c r="H15" s="65"/>
      <c r="I15"/>
      <c r="O15"/>
      <c r="P15"/>
      <c r="Q15"/>
      <c r="R15"/>
      <c r="S15"/>
    </row>
    <row r="16" spans="1:19" x14ac:dyDescent="0.3">
      <c r="A16"/>
      <c r="B16" s="42" t="s">
        <v>23</v>
      </c>
      <c r="C16" s="43">
        <f>'Reliquidación AR'!$P17+'Reliquidación AR'!L17</f>
        <v>0</v>
      </c>
      <c r="D16" s="64"/>
      <c r="E16" s="42" t="s">
        <v>31</v>
      </c>
      <c r="F16" s="43">
        <v>0</v>
      </c>
      <c r="G16" s="43">
        <f t="shared" si="0"/>
        <v>-1180065.8207885805</v>
      </c>
      <c r="H16" s="65"/>
      <c r="I16"/>
      <c r="O16"/>
      <c r="P16"/>
      <c r="Q16"/>
      <c r="R16"/>
      <c r="S16"/>
    </row>
    <row r="17" spans="1:19" x14ac:dyDescent="0.3">
      <c r="B17" s="42" t="s">
        <v>24</v>
      </c>
      <c r="C17" s="43">
        <f>'Reliquidación AR'!$P18+'Reliquidación AR'!L18</f>
        <v>-55544863.488492765</v>
      </c>
      <c r="D17" s="64"/>
      <c r="E17" s="42" t="s">
        <v>32</v>
      </c>
      <c r="F17" s="43">
        <v>0</v>
      </c>
      <c r="G17" s="43">
        <f t="shared" si="0"/>
        <v>11992746.69517442</v>
      </c>
      <c r="H17" s="65"/>
      <c r="I17"/>
      <c r="O17"/>
      <c r="P17"/>
      <c r="Q17"/>
      <c r="R17"/>
      <c r="S17"/>
    </row>
    <row r="18" spans="1:19" x14ac:dyDescent="0.3">
      <c r="B18" s="42" t="s">
        <v>26</v>
      </c>
      <c r="C18" s="43">
        <f>'Reliquidación AR'!$P19+'Reliquidación AR'!L19</f>
        <v>-5084006.5946323993</v>
      </c>
      <c r="D18" s="64"/>
      <c r="E18" s="42" t="s">
        <v>33</v>
      </c>
      <c r="F18" s="43">
        <v>0</v>
      </c>
      <c r="G18" s="43">
        <f t="shared" si="0"/>
        <v>11304783.45530149</v>
      </c>
      <c r="H18" s="65"/>
      <c r="I18"/>
      <c r="O18"/>
      <c r="P18"/>
      <c r="Q18"/>
      <c r="R18"/>
      <c r="S18"/>
    </row>
    <row r="19" spans="1:19" x14ac:dyDescent="0.3">
      <c r="B19" s="42" t="s">
        <v>27</v>
      </c>
      <c r="C19" s="43">
        <f>'Reliquidación AR'!$P20+'Reliquidación AR'!L20</f>
        <v>-1829367.5265647967</v>
      </c>
      <c r="D19" s="64"/>
      <c r="E19" s="42" t="s">
        <v>34</v>
      </c>
      <c r="F19" s="43">
        <v>0</v>
      </c>
      <c r="G19" s="43">
        <f t="shared" si="0"/>
        <v>-631477.88437970716</v>
      </c>
      <c r="H19" s="65"/>
      <c r="I19"/>
      <c r="O19"/>
      <c r="P19"/>
      <c r="Q19"/>
      <c r="R19"/>
      <c r="S19"/>
    </row>
    <row r="20" spans="1:19" x14ac:dyDescent="0.3">
      <c r="B20" s="42" t="s">
        <v>28</v>
      </c>
      <c r="C20" s="43">
        <f>'Reliquidación AR'!$P21+'Reliquidación AR'!L21</f>
        <v>0</v>
      </c>
      <c r="D20" s="64"/>
      <c r="E20" s="42" t="s">
        <v>35</v>
      </c>
      <c r="F20" s="43">
        <v>0</v>
      </c>
      <c r="G20" s="43">
        <f t="shared" si="0"/>
        <v>-5986280.1341625052</v>
      </c>
      <c r="H20" s="65"/>
      <c r="I20"/>
      <c r="O20"/>
      <c r="P20"/>
      <c r="Q20"/>
      <c r="R20"/>
      <c r="S20"/>
    </row>
    <row r="21" spans="1:19" x14ac:dyDescent="0.3">
      <c r="B21" s="42" t="s">
        <v>29</v>
      </c>
      <c r="C21" s="43">
        <f>'Reliquidación AR'!$P22+'Reliquidación AR'!L22</f>
        <v>63794901.424660377</v>
      </c>
      <c r="D21" s="64"/>
      <c r="E21" s="42" t="s">
        <v>36</v>
      </c>
      <c r="F21" s="43">
        <v>0</v>
      </c>
      <c r="G21" s="43">
        <f t="shared" si="0"/>
        <v>-950909.16243711917</v>
      </c>
      <c r="H21" s="65"/>
      <c r="I21"/>
      <c r="O21"/>
      <c r="P21"/>
      <c r="Q21"/>
      <c r="R21"/>
      <c r="S21"/>
    </row>
    <row r="22" spans="1:19" x14ac:dyDescent="0.3">
      <c r="B22" s="42" t="s">
        <v>30</v>
      </c>
      <c r="C22" s="43">
        <f>'Reliquidación AR'!$P23+'Reliquidación AR'!L23</f>
        <v>-1282919.8618004494</v>
      </c>
      <c r="D22" s="64"/>
      <c r="E22" s="42" t="s">
        <v>37</v>
      </c>
      <c r="F22" s="43">
        <v>0</v>
      </c>
      <c r="G22" s="43">
        <f t="shared" si="0"/>
        <v>-10654529.393715434</v>
      </c>
      <c r="H22" s="65"/>
      <c r="I22"/>
      <c r="O22"/>
      <c r="P22"/>
      <c r="Q22"/>
      <c r="R22"/>
      <c r="S22"/>
    </row>
    <row r="23" spans="1:19" x14ac:dyDescent="0.3">
      <c r="B23" s="42" t="s">
        <v>31</v>
      </c>
      <c r="C23" s="43">
        <f>'Reliquidación AR'!$P24+'Reliquidación AR'!L24</f>
        <v>-1180065.8207885805</v>
      </c>
      <c r="D23" s="64"/>
      <c r="E23" s="42" t="s">
        <v>38</v>
      </c>
      <c r="F23" s="43">
        <v>0</v>
      </c>
      <c r="G23" s="43">
        <f t="shared" si="0"/>
        <v>-312854.44278372161</v>
      </c>
      <c r="H23" s="65"/>
      <c r="I23"/>
      <c r="O23"/>
      <c r="P23"/>
      <c r="Q23"/>
      <c r="R23"/>
      <c r="S23"/>
    </row>
    <row r="24" spans="1:19" x14ac:dyDescent="0.3">
      <c r="B24" s="42" t="s">
        <v>32</v>
      </c>
      <c r="C24" s="43">
        <f>'Reliquidación AR'!$P25+'Reliquidación AR'!L25</f>
        <v>11992746.69517442</v>
      </c>
      <c r="D24" s="64"/>
      <c r="E24" s="42" t="s">
        <v>39</v>
      </c>
      <c r="F24" s="43">
        <v>0</v>
      </c>
      <c r="G24" s="43">
        <f t="shared" si="0"/>
        <v>-17858052.05284676</v>
      </c>
      <c r="H24" s="65"/>
      <c r="I24"/>
      <c r="O24"/>
      <c r="P24"/>
      <c r="Q24"/>
      <c r="R24"/>
      <c r="S24"/>
    </row>
    <row r="25" spans="1:19" x14ac:dyDescent="0.3">
      <c r="B25" s="42" t="s">
        <v>33</v>
      </c>
      <c r="C25" s="43">
        <f>'Reliquidación AR'!$P26+'Reliquidación AR'!L26</f>
        <v>11304783.45530149</v>
      </c>
      <c r="D25" s="64"/>
      <c r="E25" s="42" t="s">
        <v>40</v>
      </c>
      <c r="F25" s="43">
        <v>0</v>
      </c>
      <c r="G25" s="43">
        <f t="shared" si="0"/>
        <v>-196409.6461053564</v>
      </c>
      <c r="H25" s="65"/>
      <c r="I25"/>
      <c r="O25"/>
      <c r="P25"/>
      <c r="Q25"/>
      <c r="R25"/>
      <c r="S25"/>
    </row>
    <row r="26" spans="1:19" x14ac:dyDescent="0.3">
      <c r="B26" s="42" t="s">
        <v>34</v>
      </c>
      <c r="C26" s="43">
        <f>'Reliquidación AR'!$P27+'Reliquidación AR'!L27</f>
        <v>-631477.88437970716</v>
      </c>
      <c r="D26" s="64"/>
      <c r="E26" s="42" t="s">
        <v>41</v>
      </c>
      <c r="F26" s="43">
        <v>0</v>
      </c>
      <c r="G26" s="43">
        <f t="shared" si="0"/>
        <v>-961967.24220471457</v>
      </c>
      <c r="H26" s="65"/>
      <c r="I26"/>
      <c r="O26"/>
      <c r="P26"/>
      <c r="Q26"/>
      <c r="R26"/>
      <c r="S26"/>
    </row>
    <row r="27" spans="1:19" x14ac:dyDescent="0.3">
      <c r="B27" s="42" t="s">
        <v>35</v>
      </c>
      <c r="C27" s="43">
        <f>'Reliquidación AR'!$P28+'Reliquidación AR'!L28</f>
        <v>-5986280.1341625052</v>
      </c>
      <c r="D27" s="64"/>
      <c r="E27" s="42" t="s">
        <v>42</v>
      </c>
      <c r="F27" s="43">
        <v>0</v>
      </c>
      <c r="G27" s="43">
        <f t="shared" si="0"/>
        <v>-676370.88528356398</v>
      </c>
      <c r="H27" s="65"/>
      <c r="I27"/>
      <c r="O27"/>
      <c r="P27"/>
      <c r="Q27"/>
      <c r="R27"/>
      <c r="S27"/>
    </row>
    <row r="28" spans="1:19" x14ac:dyDescent="0.3">
      <c r="B28" s="42" t="s">
        <v>36</v>
      </c>
      <c r="C28" s="43">
        <f>'Reliquidación AR'!$P29+'Reliquidación AR'!L29</f>
        <v>-950909.16243711917</v>
      </c>
      <c r="D28" s="64"/>
      <c r="E28" s="42" t="s">
        <v>43</v>
      </c>
      <c r="F28" s="43">
        <v>0</v>
      </c>
      <c r="G28" s="43">
        <f t="shared" si="0"/>
        <v>-377659.98355409142</v>
      </c>
      <c r="H28" s="65"/>
      <c r="I28"/>
      <c r="O28"/>
      <c r="P28"/>
      <c r="Q28"/>
      <c r="R28"/>
      <c r="S28"/>
    </row>
    <row r="29" spans="1:19" x14ac:dyDescent="0.3">
      <c r="A29"/>
      <c r="B29" s="42" t="s">
        <v>37</v>
      </c>
      <c r="C29" s="43">
        <f>'Reliquidación AR'!$P30+'Reliquidación AR'!L30</f>
        <v>-10654529.393715434</v>
      </c>
      <c r="D29" s="64"/>
      <c r="E29" s="42" t="s">
        <v>45</v>
      </c>
      <c r="F29" s="43">
        <v>0</v>
      </c>
      <c r="G29" s="43">
        <f t="shared" si="0"/>
        <v>-106950.76022959883</v>
      </c>
      <c r="H29" s="65"/>
      <c r="I29"/>
      <c r="O29"/>
      <c r="P29"/>
      <c r="Q29"/>
      <c r="R29"/>
      <c r="S29"/>
    </row>
    <row r="30" spans="1:19" x14ac:dyDescent="0.3">
      <c r="B30" s="42" t="s">
        <v>38</v>
      </c>
      <c r="C30" s="43">
        <f>'Reliquidación AR'!$P31+'Reliquidación AR'!L31</f>
        <v>-312854.44278372161</v>
      </c>
      <c r="D30" s="64"/>
      <c r="E30" s="42" t="s">
        <v>49</v>
      </c>
      <c r="F30" s="43">
        <v>0</v>
      </c>
      <c r="G30" s="43">
        <f t="shared" si="0"/>
        <v>0</v>
      </c>
      <c r="H30" s="65"/>
      <c r="I30"/>
      <c r="O30"/>
      <c r="P30"/>
      <c r="Q30"/>
      <c r="R30"/>
      <c r="S30"/>
    </row>
    <row r="31" spans="1:19" x14ac:dyDescent="0.3">
      <c r="A31"/>
      <c r="B31" s="42" t="s">
        <v>39</v>
      </c>
      <c r="C31" s="43">
        <f>'Reliquidación AR'!$P32+'Reliquidación AR'!L32</f>
        <v>-17858052.05284676</v>
      </c>
      <c r="D31" s="64"/>
      <c r="E31" s="42" t="s">
        <v>50</v>
      </c>
      <c r="F31" s="43">
        <v>0</v>
      </c>
      <c r="G31" s="43">
        <f t="shared" si="0"/>
        <v>-995.97785511368147</v>
      </c>
      <c r="H31" s="65"/>
      <c r="I31"/>
      <c r="O31"/>
      <c r="P31"/>
      <c r="Q31"/>
      <c r="R31"/>
      <c r="S31"/>
    </row>
    <row r="32" spans="1:19" x14ac:dyDescent="0.3">
      <c r="A32"/>
      <c r="B32" s="42" t="s">
        <v>40</v>
      </c>
      <c r="C32" s="43">
        <f>'Reliquidación AR'!$P33+'Reliquidación AR'!L33</f>
        <v>-196409.6461053564</v>
      </c>
      <c r="D32" s="64"/>
      <c r="E32" s="44" t="s">
        <v>51</v>
      </c>
      <c r="F32" s="43">
        <v>0</v>
      </c>
      <c r="G32" s="43">
        <f t="shared" si="0"/>
        <v>-6158.6155754122574</v>
      </c>
      <c r="H32" s="65"/>
      <c r="I32"/>
      <c r="O32"/>
      <c r="P32"/>
      <c r="Q32"/>
      <c r="R32"/>
      <c r="S32"/>
    </row>
    <row r="33" spans="1:22" x14ac:dyDescent="0.3">
      <c r="A33"/>
      <c r="B33" s="42" t="s">
        <v>41</v>
      </c>
      <c r="C33" s="43">
        <f>'Reliquidación AR'!$P34+'Reliquidación AR'!L34</f>
        <v>-961967.24220471457</v>
      </c>
      <c r="D33" s="64"/>
      <c r="E33" s="46" t="s">
        <v>66</v>
      </c>
      <c r="F33" s="16">
        <f>SUM(F7:F32)</f>
        <v>0</v>
      </c>
      <c r="G33" s="16">
        <f>SUM(G7:G32)</f>
        <v>3.4242475521750748E-9</v>
      </c>
      <c r="H33"/>
      <c r="I33"/>
      <c r="O33"/>
      <c r="P33"/>
      <c r="Q33"/>
      <c r="R33"/>
      <c r="S33"/>
    </row>
    <row r="34" spans="1:22" x14ac:dyDescent="0.3">
      <c r="B34" s="42" t="s">
        <v>42</v>
      </c>
      <c r="C34" s="43">
        <f>'Reliquidación AR'!$P35+'Reliquidación AR'!L35</f>
        <v>-676370.88528356398</v>
      </c>
      <c r="D34" s="64"/>
      <c r="E34" s="66"/>
      <c r="F34" s="66"/>
      <c r="G34" s="17"/>
      <c r="H34"/>
      <c r="I34"/>
      <c r="O34"/>
      <c r="P34"/>
      <c r="Q34"/>
      <c r="R34"/>
      <c r="S34"/>
    </row>
    <row r="35" spans="1:22" x14ac:dyDescent="0.3">
      <c r="A35"/>
      <c r="B35" s="42" t="s">
        <v>43</v>
      </c>
      <c r="C35" s="43">
        <f>'Reliquidación AR'!$P36+'Reliquidación AR'!L36</f>
        <v>-377659.98355409142</v>
      </c>
      <c r="D35" s="64"/>
      <c r="E35" s="66"/>
      <c r="F35" s="67"/>
      <c r="G35" s="17"/>
      <c r="H35"/>
      <c r="I35"/>
      <c r="O35"/>
      <c r="P35"/>
      <c r="Q35"/>
      <c r="R35"/>
      <c r="S35"/>
    </row>
    <row r="36" spans="1:22" x14ac:dyDescent="0.3">
      <c r="A36"/>
      <c r="B36" s="42" t="s">
        <v>45</v>
      </c>
      <c r="C36" s="43">
        <f>'Reliquidación AR'!$P37+'Reliquidación AR'!L37</f>
        <v>-106950.76022959883</v>
      </c>
      <c r="D36" s="64"/>
      <c r="E36" s="64"/>
      <c r="F36" s="64"/>
      <c r="G36" s="64"/>
      <c r="H36" s="64"/>
      <c r="I36" s="66"/>
      <c r="J36" s="66"/>
      <c r="K36" s="17"/>
      <c r="L36" s="17"/>
      <c r="M36" s="17"/>
      <c r="N36" s="54"/>
      <c r="O36"/>
      <c r="P36"/>
      <c r="Q36"/>
      <c r="R36"/>
      <c r="S36"/>
    </row>
    <row r="37" spans="1:22" x14ac:dyDescent="0.3">
      <c r="B37" s="42" t="s">
        <v>46</v>
      </c>
      <c r="C37" s="43">
        <f>'Reliquidación AR'!$P38+'Reliquidación AR'!L38</f>
        <v>-1398510.5500257439</v>
      </c>
      <c r="D37" s="64"/>
      <c r="E37" s="64"/>
      <c r="F37" s="64"/>
      <c r="G37" s="64"/>
      <c r="H37" s="64"/>
      <c r="I37" s="66"/>
      <c r="J37" s="66"/>
      <c r="K37" s="17"/>
      <c r="L37" s="17"/>
      <c r="M37" s="17"/>
      <c r="N37" s="54"/>
      <c r="O37"/>
      <c r="P37"/>
      <c r="Q37"/>
      <c r="R37"/>
      <c r="S37"/>
    </row>
    <row r="38" spans="1:22" x14ac:dyDescent="0.3">
      <c r="B38" s="42" t="s">
        <v>47</v>
      </c>
      <c r="C38" s="43">
        <f>'Reliquidación AR'!$P39+'Reliquidación AR'!L39</f>
        <v>-3148142.058265056</v>
      </c>
      <c r="D38" s="64"/>
      <c r="E38" s="64"/>
      <c r="F38" s="64"/>
      <c r="G38" s="64"/>
      <c r="H38" s="64"/>
      <c r="I38" s="66"/>
      <c r="J38" s="66"/>
      <c r="K38" s="17"/>
      <c r="L38" s="17"/>
      <c r="M38" s="17"/>
      <c r="N38" s="54"/>
      <c r="O38"/>
      <c r="P38"/>
      <c r="Q38"/>
      <c r="R38"/>
      <c r="S38"/>
    </row>
    <row r="39" spans="1:22" x14ac:dyDescent="0.3">
      <c r="B39" s="42" t="s">
        <v>48</v>
      </c>
      <c r="C39" s="43">
        <f>'Reliquidación AR'!$P40+'Reliquidación AR'!L40</f>
        <v>-6281872.1470008427</v>
      </c>
      <c r="D39" s="64"/>
      <c r="E39" s="64"/>
      <c r="F39" s="64"/>
      <c r="G39" s="64"/>
      <c r="H39" s="64"/>
      <c r="I39" s="66"/>
      <c r="J39" s="66"/>
      <c r="K39" s="17"/>
      <c r="L39" s="17"/>
      <c r="M39" s="17"/>
      <c r="N39" s="54"/>
      <c r="O39"/>
      <c r="P39"/>
      <c r="Q39"/>
      <c r="R39"/>
      <c r="S39"/>
    </row>
    <row r="40" spans="1:22" x14ac:dyDescent="0.3">
      <c r="B40" s="42" t="s">
        <v>49</v>
      </c>
      <c r="C40" s="43">
        <f>'Reliquidación AR'!$P41+'Reliquidación AR'!L41</f>
        <v>0</v>
      </c>
      <c r="D40" s="64"/>
      <c r="E40" s="64"/>
      <c r="F40" s="64"/>
      <c r="G40" s="64"/>
      <c r="H40" s="64"/>
      <c r="I40" s="66"/>
      <c r="J40" s="66"/>
      <c r="K40" s="17"/>
      <c r="L40" s="17"/>
      <c r="M40" s="17"/>
      <c r="N40" s="54"/>
      <c r="O40"/>
      <c r="P40"/>
      <c r="Q40"/>
      <c r="R40"/>
      <c r="S40"/>
    </row>
    <row r="41" spans="1:22" x14ac:dyDescent="0.3">
      <c r="B41" s="42" t="s">
        <v>50</v>
      </c>
      <c r="C41" s="43">
        <f>'Reliquidación AR'!$P42+'Reliquidación AR'!L42</f>
        <v>-995.97785511368147</v>
      </c>
      <c r="D41" s="64"/>
      <c r="E41" s="64"/>
      <c r="F41" s="64"/>
      <c r="G41" s="64"/>
      <c r="H41" s="64"/>
      <c r="I41" s="66"/>
      <c r="J41" s="66"/>
      <c r="K41" s="17"/>
      <c r="L41" s="17"/>
      <c r="M41" s="17"/>
      <c r="N41" s="54"/>
      <c r="O41"/>
      <c r="P41"/>
      <c r="Q41"/>
      <c r="R41"/>
      <c r="S41"/>
    </row>
    <row r="42" spans="1:22" x14ac:dyDescent="0.3">
      <c r="B42" s="44" t="s">
        <v>51</v>
      </c>
      <c r="C42" s="43">
        <f>'Reliquidación AR'!$P43+'Reliquidación AR'!L43</f>
        <v>-6158.6155754122574</v>
      </c>
      <c r="D42" s="64"/>
      <c r="E42" s="64"/>
      <c r="F42" s="64"/>
      <c r="G42" s="64"/>
      <c r="H42" s="64"/>
      <c r="I42" s="66"/>
      <c r="J42" s="66"/>
      <c r="K42" s="17"/>
      <c r="L42" s="17"/>
      <c r="M42" s="17"/>
      <c r="N42" s="54"/>
      <c r="O42"/>
      <c r="P42"/>
      <c r="Q42"/>
      <c r="R42"/>
      <c r="S42"/>
      <c r="T42" s="66"/>
      <c r="U42" s="68"/>
      <c r="V42" s="68"/>
    </row>
    <row r="43" spans="1:22" x14ac:dyDescent="0.3">
      <c r="B43" s="46" t="s">
        <v>66</v>
      </c>
      <c r="C43" s="16">
        <f>SUM(C8:C42)</f>
        <v>-9.6288204076699913E-9</v>
      </c>
      <c r="D43" s="69"/>
      <c r="E43" s="69"/>
      <c r="F43" s="69"/>
      <c r="G43" s="69"/>
      <c r="H43" s="69"/>
      <c r="I43" s="66"/>
      <c r="J43" s="66"/>
      <c r="K43" s="17"/>
      <c r="N43" s="54"/>
      <c r="O43"/>
      <c r="P43"/>
      <c r="Q43"/>
      <c r="R43"/>
      <c r="S43"/>
    </row>
    <row r="44" spans="1:22" x14ac:dyDescent="0.3">
      <c r="I44"/>
      <c r="J44"/>
      <c r="O44"/>
      <c r="P44"/>
    </row>
    <row r="45" spans="1:22" x14ac:dyDescent="0.3">
      <c r="B45" s="66"/>
      <c r="C45" s="68"/>
      <c r="D45" s="68"/>
      <c r="E45" s="68"/>
      <c r="F45" s="68"/>
      <c r="G45" s="68"/>
      <c r="H45" s="68"/>
      <c r="I45"/>
      <c r="J45"/>
      <c r="L45"/>
      <c r="M45"/>
      <c r="O45"/>
      <c r="P45"/>
    </row>
    <row r="46" spans="1:22" x14ac:dyDescent="0.3">
      <c r="B46"/>
      <c r="C46"/>
      <c r="D46"/>
      <c r="E46"/>
      <c r="F46"/>
      <c r="G46"/>
      <c r="H46"/>
      <c r="I46" s="17"/>
      <c r="J46" s="17"/>
      <c r="K46"/>
      <c r="L46"/>
      <c r="M46"/>
      <c r="N46"/>
      <c r="O46"/>
      <c r="P46"/>
      <c r="Q46"/>
      <c r="R46"/>
    </row>
    <row r="47" spans="1:22" x14ac:dyDescent="0.3">
      <c r="B47" s="19" t="s">
        <v>84</v>
      </c>
      <c r="C47"/>
      <c r="D47"/>
      <c r="E47"/>
      <c r="F47"/>
      <c r="G47"/>
      <c r="H47"/>
      <c r="I47" s="17"/>
      <c r="J47" s="17"/>
      <c r="K47"/>
      <c r="L47"/>
      <c r="M47"/>
      <c r="N47"/>
      <c r="O47"/>
      <c r="P47"/>
      <c r="Q47"/>
      <c r="R47"/>
    </row>
    <row r="48" spans="1:22" ht="14.5" x14ac:dyDescent="0.35">
      <c r="B48"/>
      <c r="C48" s="70"/>
      <c r="D48" s="70"/>
      <c r="E48" s="70"/>
      <c r="F48" s="70"/>
      <c r="G48" s="70"/>
      <c r="H48" s="70"/>
      <c r="I48"/>
      <c r="J48"/>
      <c r="K48"/>
      <c r="N48" s="70"/>
      <c r="O48" s="70"/>
      <c r="P48" s="70"/>
      <c r="Q48" s="70"/>
      <c r="R48" s="70"/>
    </row>
    <row r="49" spans="2:13" x14ac:dyDescent="0.3">
      <c r="B49" s="71" t="s">
        <v>85</v>
      </c>
      <c r="C49" s="72" t="s">
        <v>86</v>
      </c>
      <c r="D49" s="73"/>
      <c r="E49" s="73"/>
      <c r="F49" s="73"/>
      <c r="G49" s="73"/>
      <c r="H49" s="73"/>
      <c r="I49" s="74"/>
      <c r="J49" s="75" t="s">
        <v>52</v>
      </c>
      <c r="L49" s="76"/>
      <c r="M49" s="76"/>
    </row>
    <row r="50" spans="2:13" x14ac:dyDescent="0.3">
      <c r="B50" s="77"/>
      <c r="C50" s="49" t="s">
        <v>14</v>
      </c>
      <c r="D50" s="49" t="s">
        <v>15</v>
      </c>
      <c r="E50" s="78" t="s">
        <v>17</v>
      </c>
      <c r="F50" s="78" t="s">
        <v>29</v>
      </c>
      <c r="G50" s="78" t="s">
        <v>32</v>
      </c>
      <c r="H50" s="78" t="s">
        <v>33</v>
      </c>
      <c r="I50" s="78" t="s">
        <v>49</v>
      </c>
      <c r="J50" s="75"/>
      <c r="L50" s="22"/>
    </row>
    <row r="51" spans="2:13" x14ac:dyDescent="0.3">
      <c r="B51" s="78" t="s">
        <v>16</v>
      </c>
      <c r="C51" s="79" cm="1">
        <f t="array" ref="C51">(VLOOKUP($B51,$E$8:$G$33,3,0)*(-(VLOOKUP(C$50,$E$8:$G$33,3,0))))/SUMPRODUCT(($G$8:$G$33&gt;0)*($G$8:$G$33))</f>
        <v>99059.932527709898</v>
      </c>
      <c r="D51" s="79" cm="1">
        <f t="array" ref="D51">(VLOOKUP($B51,$E$8:$G$33,3,0)*(-(VLOOKUP(D$50,$E$8:$G$33,3,0))))/SUMPRODUCT(($G$8:$G$33&gt;0)*($G$8:$G$33))</f>
        <v>109720.75489067122</v>
      </c>
      <c r="E51" s="79" cm="1">
        <f t="array" ref="E51">(VLOOKUP($B51,$E$8:$G$33,3,0)*(-(VLOOKUP(E$50,$E$8:$G$33,3,0))))/SUMPRODUCT(($G$8:$G$33&gt;0)*($G$8:$G$33))</f>
        <v>2026.6070242714593</v>
      </c>
      <c r="F51" s="79" cm="1">
        <f t="array" ref="F51">(VLOOKUP($B51,$E$8:$G$33,3,0)*(-(VLOOKUP(F$50,$E$8:$G$33,3,0))))/SUMPRODUCT(($G$8:$G$33&gt;0)*($G$8:$G$33))</f>
        <v>272458.48735426052</v>
      </c>
      <c r="G51" s="79" cm="1">
        <f t="array" ref="G51">(VLOOKUP($B51,$E$8:$G$33,3,0)*(-(VLOOKUP(G$50,$E$8:$G$33,3,0))))/SUMPRODUCT(($G$8:$G$33&gt;0)*($G$8:$G$33))</f>
        <v>51219.228352423539</v>
      </c>
      <c r="H51" s="79" cm="1">
        <f t="array" ref="H51">(VLOOKUP($B51,$E$8:$G$33,3,0)*(-(VLOOKUP(H$50,$E$8:$G$33,3,0))))/SUMPRODUCT(($G$8:$G$33&gt;0)*($G$8:$G$33))</f>
        <v>48281.040197803108</v>
      </c>
      <c r="I51" s="79" cm="1">
        <f t="array" ref="I51">(VLOOKUP($B51,$E$8:$G$33,3,0)*(-(VLOOKUP(I$50,$E$8:$G$33,3,0))))/SUMPRODUCT(($G$8:$G$33&gt;0)*($G$8:$G$33))</f>
        <v>0</v>
      </c>
      <c r="J51" s="80">
        <f>SUM(C51:I51)</f>
        <v>582766.05034713971</v>
      </c>
      <c r="K51" s="22"/>
      <c r="L51" s="17"/>
    </row>
    <row r="52" spans="2:13" x14ac:dyDescent="0.3">
      <c r="B52" s="81" t="s">
        <v>82</v>
      </c>
      <c r="C52" s="79" cm="1">
        <f t="array" ref="C52">(VLOOKUP($B52,$E$8:$G$33,3,0)*(-(VLOOKUP(C$50,$E$8:$G$33,3,0))))/SUMPRODUCT(($G$8:$G$33&gt;0)*($G$8:$G$33))</f>
        <v>6653237.4062463883</v>
      </c>
      <c r="D52" s="79" cm="1">
        <f t="array" ref="D52">(VLOOKUP($B52,$E$8:$G$33,3,0)*(-(VLOOKUP(D$50,$E$8:$G$33,3,0))))/SUMPRODUCT(($G$8:$G$33&gt;0)*($G$8:$G$33))</f>
        <v>7369258.3070960976</v>
      </c>
      <c r="E52" s="79" cm="1">
        <f t="array" ref="E52">(VLOOKUP($B52,$E$8:$G$33,3,0)*(-(VLOOKUP(E$50,$E$8:$G$33,3,0))))/SUMPRODUCT(($G$8:$G$33&gt;0)*($G$8:$G$33))</f>
        <v>136114.54518074536</v>
      </c>
      <c r="F52" s="79" cm="1">
        <f t="array" ref="F52">(VLOOKUP($B52,$E$8:$G$33,3,0)*(-(VLOOKUP(F$50,$E$8:$G$33,3,0))))/SUMPRODUCT(($G$8:$G$33&gt;0)*($G$8:$G$33))</f>
        <v>18299336.103500798</v>
      </c>
      <c r="G52" s="79" cm="1">
        <f t="array" ref="G52">(VLOOKUP($B52,$E$8:$G$33,3,0)*(-(VLOOKUP(G$50,$E$8:$G$33,3,0))))/SUMPRODUCT(($G$8:$G$33&gt;0)*($G$8:$G$33))</f>
        <v>3440075.8944399208</v>
      </c>
      <c r="H52" s="79" cm="1">
        <f t="array" ref="H52">(VLOOKUP($B52,$E$8:$G$33,3,0)*(-(VLOOKUP(H$50,$E$8:$G$33,3,0))))/SUMPRODUCT(($G$8:$G$33&gt;0)*($G$8:$G$33))</f>
        <v>3242736.1341746654</v>
      </c>
      <c r="I52" s="79" cm="1">
        <f t="array" ref="I52">(VLOOKUP($B52,$E$8:$G$33,3,0)*(-(VLOOKUP(I$50,$E$8:$G$33,3,0))))/SUMPRODUCT(($G$8:$G$33&gt;0)*($G$8:$G$33))</f>
        <v>0</v>
      </c>
      <c r="J52" s="80">
        <f>SUM(C52:I52)</f>
        <v>39140758.39063862</v>
      </c>
      <c r="K52" s="17"/>
      <c r="L52" s="17"/>
    </row>
    <row r="53" spans="2:13" x14ac:dyDescent="0.3">
      <c r="B53" s="81" t="s">
        <v>83</v>
      </c>
      <c r="C53" s="79" cm="1">
        <f t="array" ref="C53">(VLOOKUP($B53,$E$8:$G$33,3,0)*(-(VLOOKUP(C$50,$E$8:$G$33,3,0))))/SUMPRODUCT(($G$8:$G$33&gt;0)*($G$8:$G$33))</f>
        <v>9441645.4530139137</v>
      </c>
      <c r="D53" s="79" cm="1">
        <f t="array" ref="D53">(VLOOKUP($B53,$E$8:$G$33,3,0)*(-(VLOOKUP(D$50,$E$8:$G$33,3,0))))/SUMPRODUCT(($G$8:$G$33&gt;0)*($G$8:$G$33))</f>
        <v>10457754.61461148</v>
      </c>
      <c r="E53" s="79" cm="1">
        <f t="array" ref="E53">(VLOOKUP($B53,$E$8:$G$33,3,0)*(-(VLOOKUP(E$50,$E$8:$G$33,3,0))))/SUMPRODUCT(($G$8:$G$33&gt;0)*($G$8:$G$33))</f>
        <v>193160.89267884588</v>
      </c>
      <c r="F53" s="79" cm="1">
        <f t="array" ref="F53">(VLOOKUP($B53,$E$8:$G$33,3,0)*(-(VLOOKUP(F$50,$E$8:$G$33,3,0))))/SUMPRODUCT(($G$8:$G$33&gt;0)*($G$8:$G$33))</f>
        <v>25968687.567436136</v>
      </c>
      <c r="G53" s="79" cm="1">
        <f t="array" ref="G53">(VLOOKUP($B53,$E$8:$G$33,3,0)*(-(VLOOKUP(G$50,$E$8:$G$33,3,0))))/SUMPRODUCT(($G$8:$G$33&gt;0)*($G$8:$G$33))</f>
        <v>4881830.4448699877</v>
      </c>
      <c r="H53" s="79" cm="1">
        <f t="array" ref="H53">(VLOOKUP($B53,$E$8:$G$33,3,0)*(-(VLOOKUP(H$50,$E$8:$G$33,3,0))))/SUMPRODUCT(($G$8:$G$33&gt;0)*($G$8:$G$33))</f>
        <v>4601784.5158823896</v>
      </c>
      <c r="I53" s="79" cm="1">
        <f t="array" ref="I53">(VLOOKUP($B53,$E$8:$G$33,3,0)*(-(VLOOKUP(I$50,$E$8:$G$33,3,0))))/SUMPRODUCT(($G$8:$G$33&gt;0)*($G$8:$G$33))</f>
        <v>0</v>
      </c>
      <c r="J53" s="80">
        <f>SUM(C53:I53)</f>
        <v>55544863.48849275</v>
      </c>
      <c r="K53" s="17"/>
      <c r="L53" s="17"/>
    </row>
    <row r="54" spans="2:13" x14ac:dyDescent="0.3">
      <c r="B54" s="81" t="s">
        <v>30</v>
      </c>
      <c r="C54" s="79" cm="1">
        <f t="array" ref="C54">(VLOOKUP($B54,$E$8:$G$33,3,0)*(-(VLOOKUP(C$50,$E$8:$G$33,3,0))))/SUMPRODUCT(($G$8:$G$33&gt;0)*($G$8:$G$33))</f>
        <v>218073.71049276012</v>
      </c>
      <c r="D54" s="79" cm="1">
        <f t="array" ref="D54">(VLOOKUP($B54,$E$8:$G$33,3,0)*(-(VLOOKUP(D$50,$E$8:$G$33,3,0))))/SUMPRODUCT(($G$8:$G$33&gt;0)*($G$8:$G$33))</f>
        <v>241542.78653866641</v>
      </c>
      <c r="E54" s="79" cm="1">
        <f t="array" ref="E54">(VLOOKUP($B54,$E$8:$G$33,3,0)*(-(VLOOKUP(E$50,$E$8:$G$33,3,0))))/SUMPRODUCT(($G$8:$G$33&gt;0)*($G$8:$G$33))</f>
        <v>4461.4376591660039</v>
      </c>
      <c r="F54" s="79" cm="1">
        <f t="array" ref="F54">(VLOOKUP($B54,$E$8:$G$33,3,0)*(-(VLOOKUP(F$50,$E$8:$G$33,3,0))))/SUMPRODUCT(($G$8:$G$33&gt;0)*($G$8:$G$33))</f>
        <v>599798.8467836678</v>
      </c>
      <c r="G54" s="79" cm="1">
        <f t="array" ref="G54">(VLOOKUP($B54,$E$8:$G$33,3,0)*(-(VLOOKUP(G$50,$E$8:$G$33,3,0))))/SUMPRODUCT(($G$8:$G$33&gt;0)*($G$8:$G$33))</f>
        <v>112755.65095165529</v>
      </c>
      <c r="H54" s="79" cm="1">
        <f t="array" ref="H54">(VLOOKUP($B54,$E$8:$G$33,3,0)*(-(VLOOKUP(H$50,$E$8:$G$33,3,0))))/SUMPRODUCT(($G$8:$G$33&gt;0)*($G$8:$G$33))</f>
        <v>106287.42937453359</v>
      </c>
      <c r="I54" s="79" cm="1">
        <f t="array" ref="I54">(VLOOKUP($B54,$E$8:$G$33,3,0)*(-(VLOOKUP(I$50,$E$8:$G$33,3,0))))/SUMPRODUCT(($G$8:$G$33&gt;0)*($G$8:$G$33))</f>
        <v>0</v>
      </c>
      <c r="J54" s="80">
        <f t="shared" ref="J54:J56" si="1">SUM(C54:I54)</f>
        <v>1282919.8618004494</v>
      </c>
      <c r="K54" s="17"/>
      <c r="L54" s="17"/>
    </row>
    <row r="55" spans="2:13" x14ac:dyDescent="0.3">
      <c r="B55" s="81" t="s">
        <v>31</v>
      </c>
      <c r="C55" s="79" cm="1">
        <f t="array" ref="C55">(VLOOKUP($B55,$E$8:$G$33,3,0)*(-(VLOOKUP(C$50,$E$8:$G$33,3,0))))/SUMPRODUCT(($G$8:$G$33&gt;0)*($G$8:$G$33))</f>
        <v>200590.34069664916</v>
      </c>
      <c r="D55" s="79" cm="1">
        <f t="array" ref="D55">(VLOOKUP($B55,$E$8:$G$33,3,0)*(-(VLOOKUP(D$50,$E$8:$G$33,3,0))))/SUMPRODUCT(($G$8:$G$33&gt;0)*($G$8:$G$33))</f>
        <v>222177.85782214973</v>
      </c>
      <c r="E55" s="79" cm="1">
        <f t="array" ref="E55">(VLOOKUP($B55,$E$8:$G$33,3,0)*(-(VLOOKUP(E$50,$E$8:$G$33,3,0))))/SUMPRODUCT(($G$8:$G$33&gt;0)*($G$8:$G$33))</f>
        <v>4103.7560099601296</v>
      </c>
      <c r="F55" s="79" cm="1">
        <f t="array" ref="F55">(VLOOKUP($B55,$E$8:$G$33,3,0)*(-(VLOOKUP(F$50,$E$8:$G$33,3,0))))/SUMPRODUCT(($G$8:$G$33&gt;0)*($G$8:$G$33))</f>
        <v>551711.87188924151</v>
      </c>
      <c r="G55" s="79" cm="1">
        <f t="array" ref="G55">(VLOOKUP($B55,$E$8:$G$33,3,0)*(-(VLOOKUP(G$50,$E$8:$G$33,3,0))))/SUMPRODUCT(($G$8:$G$33&gt;0)*($G$8:$G$33))</f>
        <v>103715.82337347297</v>
      </c>
      <c r="H55" s="79" cm="1">
        <f t="array" ref="H55">(VLOOKUP($B55,$E$8:$G$33,3,0)*(-(VLOOKUP(H$50,$E$8:$G$33,3,0))))/SUMPRODUCT(($G$8:$G$33&gt;0)*($G$8:$G$33))</f>
        <v>97766.170997106718</v>
      </c>
      <c r="I55" s="79" cm="1">
        <f t="array" ref="I55">(VLOOKUP($B55,$E$8:$G$33,3,0)*(-(VLOOKUP(I$50,$E$8:$G$33,3,0))))/SUMPRODUCT(($G$8:$G$33&gt;0)*($G$8:$G$33))</f>
        <v>0</v>
      </c>
      <c r="J55" s="80">
        <f t="shared" si="1"/>
        <v>1180065.8207885802</v>
      </c>
      <c r="K55" s="17"/>
      <c r="L55" s="17"/>
    </row>
    <row r="56" spans="2:13" x14ac:dyDescent="0.3">
      <c r="B56" s="78" t="s">
        <v>34</v>
      </c>
      <c r="C56" s="79" cm="1">
        <f t="array" ref="C56">(VLOOKUP($B56,$E$8:$G$33,3,0)*(-(VLOOKUP(C$50,$E$8:$G$33,3,0))))/SUMPRODUCT(($G$8:$G$33&gt;0)*($G$8:$G$33))</f>
        <v>107340.08369590637</v>
      </c>
      <c r="D56" s="79" cm="1">
        <f t="array" ref="D56">(VLOOKUP($B56,$E$8:$G$33,3,0)*(-(VLOOKUP(D$50,$E$8:$G$33,3,0))))/SUMPRODUCT(($G$8:$G$33&gt;0)*($G$8:$G$33))</f>
        <v>118892.01529435924</v>
      </c>
      <c r="E56" s="79" cm="1">
        <f t="array" ref="E56">(VLOOKUP($B56,$E$8:$G$33,3,0)*(-(VLOOKUP(E$50,$E$8:$G$33,3,0))))/SUMPRODUCT(($G$8:$G$33&gt;0)*($G$8:$G$33))</f>
        <v>2196.0056104738328</v>
      </c>
      <c r="F56" s="79" cm="1">
        <f t="array" ref="F56">(VLOOKUP($B56,$E$8:$G$33,3,0)*(-(VLOOKUP(F$50,$E$8:$G$33,3,0))))/SUMPRODUCT(($G$8:$G$33&gt;0)*($G$8:$G$33))</f>
        <v>295232.55356635246</v>
      </c>
      <c r="G56" s="79" cm="1">
        <f t="array" ref="G56">(VLOOKUP($B56,$E$8:$G$33,3,0)*(-(VLOOKUP(G$50,$E$8:$G$33,3,0))))/SUMPRODUCT(($G$8:$G$33&gt;0)*($G$8:$G$33))</f>
        <v>55500.504774228175</v>
      </c>
      <c r="H56" s="79" cm="1">
        <f t="array" ref="H56">(VLOOKUP($B56,$E$8:$G$33,3,0)*(-(VLOOKUP(H$50,$E$8:$G$33,3,0))))/SUMPRODUCT(($G$8:$G$33&gt;0)*($G$8:$G$33))</f>
        <v>52316.721438386965</v>
      </c>
      <c r="I56" s="79" cm="1">
        <f t="array" ref="I56">(VLOOKUP($B56,$E$8:$G$33,3,0)*(-(VLOOKUP(I$50,$E$8:$G$33,3,0))))/SUMPRODUCT(($G$8:$G$33&gt;0)*($G$8:$G$33))</f>
        <v>0</v>
      </c>
      <c r="J56" s="80">
        <f t="shared" si="1"/>
        <v>631477.88437970704</v>
      </c>
      <c r="K56" s="17"/>
      <c r="L56" s="17"/>
    </row>
    <row r="57" spans="2:13" x14ac:dyDescent="0.3">
      <c r="B57" s="78" t="s">
        <v>35</v>
      </c>
      <c r="C57" s="79" cm="1">
        <f t="array" ref="C57">(VLOOKUP($B57,$E$8:$G$33,3,0)*(-(VLOOKUP(C$50,$E$8:$G$33,3,0))))/SUMPRODUCT(($G$8:$G$33&gt;0)*($G$8:$G$33))</f>
        <v>1017561.8600789659</v>
      </c>
      <c r="D57" s="79" cm="1">
        <f t="array" ref="D57">(VLOOKUP($B57,$E$8:$G$33,3,0)*(-(VLOOKUP(D$50,$E$8:$G$33,3,0))))/SUMPRODUCT(($G$8:$G$33&gt;0)*($G$8:$G$33))</f>
        <v>1127071.7896419792</v>
      </c>
      <c r="E57" s="79" cm="1">
        <f t="array" ref="E57">(VLOOKUP($B57,$E$8:$G$33,3,0)*(-(VLOOKUP(E$50,$E$8:$G$33,3,0))))/SUMPRODUCT(($G$8:$G$33&gt;0)*($G$8:$G$33))</f>
        <v>20817.680374352251</v>
      </c>
      <c r="F57" s="79" cm="1">
        <f t="array" ref="F57">(VLOOKUP($B57,$E$8:$G$33,3,0)*(-(VLOOKUP(F$50,$E$8:$G$33,3,0))))/SUMPRODUCT(($G$8:$G$33&gt;0)*($G$8:$G$33))</f>
        <v>2798743.7313158861</v>
      </c>
      <c r="G57" s="79" cm="1">
        <f t="array" ref="G57">(VLOOKUP($B57,$E$8:$G$33,3,0)*(-(VLOOKUP(G$50,$E$8:$G$33,3,0))))/SUMPRODUCT(($G$8:$G$33&gt;0)*($G$8:$G$33))</f>
        <v>526133.3411419628</v>
      </c>
      <c r="H57" s="79" cm="1">
        <f t="array" ref="H57">(VLOOKUP($B57,$E$8:$G$33,3,0)*(-(VLOOKUP(H$50,$E$8:$G$33,3,0))))/SUMPRODUCT(($G$8:$G$33&gt;0)*($G$8:$G$33))</f>
        <v>495951.7316093577</v>
      </c>
      <c r="I57" s="79" cm="1">
        <f t="array" ref="I57">(VLOOKUP($B57,$E$8:$G$33,3,0)*(-(VLOOKUP(I$50,$E$8:$G$33,3,0))))/SUMPRODUCT(($G$8:$G$33&gt;0)*($G$8:$G$33))</f>
        <v>0</v>
      </c>
      <c r="J57" s="80">
        <f>SUM(C57:I57)</f>
        <v>5986280.1341625033</v>
      </c>
      <c r="K57" s="17"/>
      <c r="L57" s="17"/>
    </row>
    <row r="58" spans="2:13" x14ac:dyDescent="0.3">
      <c r="B58" s="78" t="s">
        <v>36</v>
      </c>
      <c r="C58" s="79" cm="1">
        <f t="array" ref="C58">(VLOOKUP($B58,$E$8:$G$33,3,0)*(-(VLOOKUP(C$50,$E$8:$G$33,3,0))))/SUMPRODUCT(($G$8:$G$33&gt;0)*($G$8:$G$33))</f>
        <v>161637.75740692383</v>
      </c>
      <c r="D58" s="79" cm="1">
        <f t="array" ref="D58">(VLOOKUP($B58,$E$8:$G$33,3,0)*(-(VLOOKUP(D$50,$E$8:$G$33,3,0))))/SUMPRODUCT(($G$8:$G$33&gt;0)*($G$8:$G$33))</f>
        <v>179033.20049770753</v>
      </c>
      <c r="E58" s="79" cm="1">
        <f t="array" ref="E58">(VLOOKUP($B58,$E$8:$G$33,3,0)*(-(VLOOKUP(E$50,$E$8:$G$33,3,0))))/SUMPRODUCT(($G$8:$G$33&gt;0)*($G$8:$G$33))</f>
        <v>3306.8487549870433</v>
      </c>
      <c r="F58" s="79" cm="1">
        <f t="array" ref="F58">(VLOOKUP($B58,$E$8:$G$33,3,0)*(-(VLOOKUP(F$50,$E$8:$G$33,3,0))))/SUMPRODUCT(($G$8:$G$33&gt;0)*($G$8:$G$33))</f>
        <v>444575.09467923635</v>
      </c>
      <c r="G58" s="79" cm="1">
        <f t="array" ref="G58">(VLOOKUP($B58,$E$8:$G$33,3,0)*(-(VLOOKUP(G$50,$E$8:$G$33,3,0))))/SUMPRODUCT(($G$8:$G$33&gt;0)*($G$8:$G$33))</f>
        <v>83575.276055058974</v>
      </c>
      <c r="H58" s="79" cm="1">
        <f t="array" ref="H58">(VLOOKUP($B58,$E$8:$G$33,3,0)*(-(VLOOKUP(H$50,$E$8:$G$33,3,0))))/SUMPRODUCT(($G$8:$G$33&gt;0)*($G$8:$G$33))</f>
        <v>78780.985043205277</v>
      </c>
      <c r="I58" s="79" cm="1">
        <f t="array" ref="I58">(VLOOKUP($B58,$E$8:$G$33,3,0)*(-(VLOOKUP(I$50,$E$8:$G$33,3,0))))/SUMPRODUCT(($G$8:$G$33&gt;0)*($G$8:$G$33))</f>
        <v>0</v>
      </c>
      <c r="J58" s="80">
        <f>SUM(C58:I58)</f>
        <v>950909.16243711906</v>
      </c>
      <c r="K58" s="17"/>
      <c r="L58" s="17"/>
    </row>
    <row r="59" spans="2:13" x14ac:dyDescent="0.3">
      <c r="B59" s="78" t="s">
        <v>37</v>
      </c>
      <c r="C59" s="79" cm="1">
        <f t="array" ref="C59">(VLOOKUP($B59,$E$8:$G$33,3,0)*(-(VLOOKUP(C$50,$E$8:$G$33,3,0))))/SUMPRODUCT(($G$8:$G$33&gt;0)*($G$8:$G$33))</f>
        <v>1811081.7578121684</v>
      </c>
      <c r="D59" s="79" cm="1">
        <f t="array" ref="D59">(VLOOKUP($B59,$E$8:$G$33,3,0)*(-(VLOOKUP(D$50,$E$8:$G$33,3,0))))/SUMPRODUCT(($G$8:$G$33&gt;0)*($G$8:$G$33))</f>
        <v>2005990.2380842946</v>
      </c>
      <c r="E59" s="79" cm="1">
        <f t="array" ref="E59">(VLOOKUP($B59,$E$8:$G$33,3,0)*(-(VLOOKUP(E$50,$E$8:$G$33,3,0))))/SUMPRODUCT(($G$8:$G$33&gt;0)*($G$8:$G$33))</f>
        <v>37051.822247964294</v>
      </c>
      <c r="F59" s="79" cm="1">
        <f t="array" ref="F59">(VLOOKUP($B59,$E$8:$G$33,3,0)*(-(VLOOKUP(F$50,$E$8:$G$33,3,0))))/SUMPRODUCT(($G$8:$G$33&gt;0)*($G$8:$G$33))</f>
        <v>4981273.2920080284</v>
      </c>
      <c r="G59" s="79" cm="1">
        <f t="array" ref="G59">(VLOOKUP($B59,$E$8:$G$33,3,0)*(-(VLOOKUP(G$50,$E$8:$G$33,3,0))))/SUMPRODUCT(($G$8:$G$33&gt;0)*($G$8:$G$33))</f>
        <v>936425.12922509643</v>
      </c>
      <c r="H59" s="79" cm="1">
        <f t="array" ref="H59">(VLOOKUP($B59,$E$8:$G$33,3,0)*(-(VLOOKUP(H$50,$E$8:$G$33,3,0))))/SUMPRODUCT(($G$8:$G$33&gt;0)*($G$8:$G$33))</f>
        <v>882707.1543378802</v>
      </c>
      <c r="I59" s="79" cm="1">
        <f t="array" ref="I59">(VLOOKUP($B59,$E$8:$G$33,3,0)*(-(VLOOKUP(I$50,$E$8:$G$33,3,0))))/SUMPRODUCT(($G$8:$G$33&gt;0)*($G$8:$G$33))</f>
        <v>0</v>
      </c>
      <c r="J59" s="80">
        <f>SUM(C59:I59)</f>
        <v>10654529.393715434</v>
      </c>
      <c r="K59" s="17"/>
      <c r="L59" s="17"/>
    </row>
    <row r="60" spans="2:13" x14ac:dyDescent="0.3">
      <c r="B60" s="78" t="s">
        <v>38</v>
      </c>
      <c r="C60" s="79" cm="1">
        <f t="array" ref="C60">(VLOOKUP($B60,$E$8:$G$33,3,0)*(-(VLOOKUP(C$50,$E$8:$G$33,3,0))))/SUMPRODUCT(($G$8:$G$33&gt;0)*($G$8:$G$33))</f>
        <v>53179.727910863949</v>
      </c>
      <c r="D60" s="79" cm="1">
        <f t="array" ref="D60">(VLOOKUP($B60,$E$8:$G$33,3,0)*(-(VLOOKUP(D$50,$E$8:$G$33,3,0))))/SUMPRODUCT(($G$8:$G$33&gt;0)*($G$8:$G$33))</f>
        <v>58902.926161677904</v>
      </c>
      <c r="E60" s="79" cm="1">
        <f t="array" ref="E60">(VLOOKUP($B60,$E$8:$G$33,3,0)*(-(VLOOKUP(E$50,$E$8:$G$33,3,0))))/SUMPRODUCT(($G$8:$G$33&gt;0)*($G$8:$G$33))</f>
        <v>1087.9717700479382</v>
      </c>
      <c r="F60" s="79" cm="1">
        <f t="array" ref="F60">(VLOOKUP($B60,$E$8:$G$33,3,0)*(-(VLOOKUP(F$50,$E$8:$G$33,3,0))))/SUMPRODUCT(($G$8:$G$33&gt;0)*($G$8:$G$33))</f>
        <v>146267.69728974003</v>
      </c>
      <c r="G60" s="79" cm="1">
        <f t="array" ref="G60">(VLOOKUP($B60,$E$8:$G$33,3,0)*(-(VLOOKUP(G$50,$E$8:$G$33,3,0))))/SUMPRODUCT(($G$8:$G$33&gt;0)*($G$8:$G$33))</f>
        <v>27496.734129355078</v>
      </c>
      <c r="H60" s="79" cm="1">
        <f t="array" ref="H60">(VLOOKUP($B60,$E$8:$G$33,3,0)*(-(VLOOKUP(H$50,$E$8:$G$33,3,0))))/SUMPRODUCT(($G$8:$G$33&gt;0)*($G$8:$G$33))</f>
        <v>25919.385522036682</v>
      </c>
      <c r="I60" s="79" cm="1">
        <f t="array" ref="I60">(VLOOKUP($B60,$E$8:$G$33,3,0)*(-(VLOOKUP(I$50,$E$8:$G$33,3,0))))/SUMPRODUCT(($G$8:$G$33&gt;0)*($G$8:$G$33))</f>
        <v>0</v>
      </c>
      <c r="J60" s="80">
        <f>SUM(C60:I60)</f>
        <v>312854.44278372161</v>
      </c>
      <c r="K60" s="17"/>
      <c r="L60" s="17"/>
    </row>
    <row r="61" spans="2:13" x14ac:dyDescent="0.3">
      <c r="B61" s="78" t="s">
        <v>39</v>
      </c>
      <c r="C61" s="79" cm="1">
        <f t="array" ref="C61">(VLOOKUP($B61,$E$8:$G$33,3,0)*(-(VLOOKUP(C$50,$E$8:$G$33,3,0))))/SUMPRODUCT(($G$8:$G$33&gt;0)*($G$8:$G$33))</f>
        <v>3035553.3414782309</v>
      </c>
      <c r="D61" s="79" cm="1">
        <f t="array" ref="D61">(VLOOKUP($B61,$E$8:$G$33,3,0)*(-(VLOOKUP(D$50,$E$8:$G$33,3,0))))/SUMPRODUCT(($G$8:$G$33&gt;0)*($G$8:$G$33))</f>
        <v>3362239.3599422616</v>
      </c>
      <c r="E61" s="79" cm="1">
        <f t="array" ref="E61">(VLOOKUP($B61,$E$8:$G$33,3,0)*(-(VLOOKUP(E$50,$E$8:$G$33,3,0))))/SUMPRODUCT(($G$8:$G$33&gt;0)*($G$8:$G$33))</f>
        <v>62102.543050588371</v>
      </c>
      <c r="F61" s="79" cm="1">
        <f t="array" ref="F61">(VLOOKUP($B61,$E$8:$G$33,3,0)*(-(VLOOKUP(F$50,$E$8:$G$33,3,0))))/SUMPRODUCT(($G$8:$G$33&gt;0)*($G$8:$G$33))</f>
        <v>8349109.984210588</v>
      </c>
      <c r="G61" s="79" cm="1">
        <f t="array" ref="G61">(VLOOKUP($B61,$E$8:$G$33,3,0)*(-(VLOOKUP(G$50,$E$8:$G$33,3,0))))/SUMPRODUCT(($G$8:$G$33&gt;0)*($G$8:$G$33))</f>
        <v>1569541.7491794068</v>
      </c>
      <c r="H61" s="79" cm="1">
        <f t="array" ref="H61">(VLOOKUP($B61,$E$8:$G$33,3,0)*(-(VLOOKUP(H$50,$E$8:$G$33,3,0))))/SUMPRODUCT(($G$8:$G$33&gt;0)*($G$8:$G$33))</f>
        <v>1479505.0749856818</v>
      </c>
      <c r="I61" s="79" cm="1">
        <f t="array" ref="I61">(VLOOKUP($B61,$E$8:$G$33,3,0)*(-(VLOOKUP(I$50,$E$8:$G$33,3,0))))/SUMPRODUCT(($G$8:$G$33&gt;0)*($G$8:$G$33))</f>
        <v>0</v>
      </c>
      <c r="J61" s="80">
        <f>SUM(C61:I61)</f>
        <v>17858052.052846756</v>
      </c>
      <c r="K61" s="17"/>
      <c r="L61" s="17"/>
    </row>
    <row r="62" spans="2:13" x14ac:dyDescent="0.3">
      <c r="B62" s="78" t="s">
        <v>40</v>
      </c>
      <c r="C62" s="79" cm="1">
        <f t="array" ref="C62">(VLOOKUP($B62,$E$8:$G$33,3,0)*(-(VLOOKUP(C$50,$E$8:$G$33,3,0))))/SUMPRODUCT(($G$8:$G$33&gt;0)*($G$8:$G$33))</f>
        <v>33386.169766406798</v>
      </c>
      <c r="D62" s="79" cm="1">
        <f t="array" ref="D62">(VLOOKUP($B62,$E$8:$G$33,3,0)*(-(VLOOKUP(D$50,$E$8:$G$33,3,0))))/SUMPRODUCT(($G$8:$G$33&gt;0)*($G$8:$G$33))</f>
        <v>36979.186803439108</v>
      </c>
      <c r="E62" s="79" cm="1">
        <f t="array" ref="E62">(VLOOKUP($B62,$E$8:$G$33,3,0)*(-(VLOOKUP(E$50,$E$8:$G$33,3,0))))/SUMPRODUCT(($G$8:$G$33&gt;0)*($G$8:$G$33))</f>
        <v>683.02737984596172</v>
      </c>
      <c r="F62" s="79" cm="1">
        <f t="array" ref="F62">(VLOOKUP($B62,$E$8:$G$33,3,0)*(-(VLOOKUP(F$50,$E$8:$G$33,3,0))))/SUMPRODUCT(($G$8:$G$33&gt;0)*($G$8:$G$33))</f>
        <v>91826.685936447961</v>
      </c>
      <c r="G62" s="79" cm="1">
        <f t="array" ref="G62">(VLOOKUP($B62,$E$8:$G$33,3,0)*(-(VLOOKUP(G$50,$E$8:$G$33,3,0))))/SUMPRODUCT(($G$8:$G$33&gt;0)*($G$8:$G$33))</f>
        <v>17262.41689696315</v>
      </c>
      <c r="H62" s="79" cm="1">
        <f t="array" ref="H62">(VLOOKUP($B62,$E$8:$G$33,3,0)*(-(VLOOKUP(H$50,$E$8:$G$33,3,0))))/SUMPRODUCT(($G$8:$G$33&gt;0)*($G$8:$G$33))</f>
        <v>16272.159322253381</v>
      </c>
      <c r="I62" s="79" cm="1">
        <f t="array" ref="I62">(VLOOKUP($B62,$E$8:$G$33,3,0)*(-(VLOOKUP(I$50,$E$8:$G$33,3,0))))/SUMPRODUCT(($G$8:$G$33&gt;0)*($G$8:$G$33))</f>
        <v>0</v>
      </c>
      <c r="J62" s="80">
        <f t="shared" ref="J62:J65" si="2">SUM(C62:I62)</f>
        <v>196409.64610535634</v>
      </c>
      <c r="K62" s="17"/>
      <c r="L62" s="17"/>
    </row>
    <row r="63" spans="2:13" x14ac:dyDescent="0.3">
      <c r="B63" s="78" t="s">
        <v>41</v>
      </c>
      <c r="C63" s="79" cm="1">
        <f t="array" ref="C63">(VLOOKUP($B63,$E$8:$G$33,3,0)*(-(VLOOKUP(C$50,$E$8:$G$33,3,0))))/SUMPRODUCT(($G$8:$G$33&gt;0)*($G$8:$G$33))</f>
        <v>163517.43559856099</v>
      </c>
      <c r="D63" s="79" cm="1">
        <f t="array" ref="D63">(VLOOKUP($B63,$E$8:$G$33,3,0)*(-(VLOOKUP(D$50,$E$8:$G$33,3,0))))/SUMPRODUCT(($G$8:$G$33&gt;0)*($G$8:$G$33))</f>
        <v>181115.1695125791</v>
      </c>
      <c r="E63" s="79" cm="1">
        <f t="array" ref="E63">(VLOOKUP($B63,$E$8:$G$33,3,0)*(-(VLOOKUP(E$50,$E$8:$G$33,3,0))))/SUMPRODUCT(($G$8:$G$33&gt;0)*($G$8:$G$33))</f>
        <v>3345.3039500324885</v>
      </c>
      <c r="F63" s="79" cm="1">
        <f t="array" ref="F63">(VLOOKUP($B63,$E$8:$G$33,3,0)*(-(VLOOKUP(F$50,$E$8:$G$33,3,0))))/SUMPRODUCT(($G$8:$G$33&gt;0)*($G$8:$G$33))</f>
        <v>449745.03840661561</v>
      </c>
      <c r="G63" s="79" cm="1">
        <f t="array" ref="G63">(VLOOKUP($B63,$E$8:$G$33,3,0)*(-(VLOOKUP(G$50,$E$8:$G$33,3,0))))/SUMPRODUCT(($G$8:$G$33&gt;0)*($G$8:$G$33))</f>
        <v>84547.169171376256</v>
      </c>
      <c r="H63" s="79" cm="1">
        <f t="array" ref="H63">(VLOOKUP($B63,$E$8:$G$33,3,0)*(-(VLOOKUP(H$50,$E$8:$G$33,3,0))))/SUMPRODUCT(($G$8:$G$33&gt;0)*($G$8:$G$33))</f>
        <v>79697.12556554997</v>
      </c>
      <c r="I63" s="79" cm="1">
        <f t="array" ref="I63">(VLOOKUP($B63,$E$8:$G$33,3,0)*(-(VLOOKUP(I$50,$E$8:$G$33,3,0))))/SUMPRODUCT(($G$8:$G$33&gt;0)*($G$8:$G$33))</f>
        <v>0</v>
      </c>
      <c r="J63" s="80">
        <f t="shared" si="2"/>
        <v>961967.24220471433</v>
      </c>
      <c r="K63" s="17"/>
      <c r="L63" s="17"/>
    </row>
    <row r="64" spans="2:13" x14ac:dyDescent="0.3">
      <c r="B64" s="78" t="s">
        <v>42</v>
      </c>
      <c r="C64" s="79" cm="1">
        <f t="array" ref="C64">(VLOOKUP($B64,$E$8:$G$33,3,0)*(-(VLOOKUP(C$50,$E$8:$G$33,3,0))))/SUMPRODUCT(($G$8:$G$33&gt;0)*($G$8:$G$33))</f>
        <v>114971.10070153573</v>
      </c>
      <c r="D64" s="79" cm="1">
        <f t="array" ref="D64">(VLOOKUP($B64,$E$8:$G$33,3,0)*(-(VLOOKUP(D$50,$E$8:$G$33,3,0))))/SUMPRODUCT(($G$8:$G$33&gt;0)*($G$8:$G$33))</f>
        <v>127344.28176654757</v>
      </c>
      <c r="E64" s="79" cm="1">
        <f t="array" ref="E64">(VLOOKUP($B64,$E$8:$G$33,3,0)*(-(VLOOKUP(E$50,$E$8:$G$33,3,0))))/SUMPRODUCT(($G$8:$G$33&gt;0)*($G$8:$G$33))</f>
        <v>2352.1239549075663</v>
      </c>
      <c r="F64" s="79" cm="1">
        <f t="array" ref="F64">(VLOOKUP($B64,$E$8:$G$33,3,0)*(-(VLOOKUP(F$50,$E$8:$G$33,3,0))))/SUMPRODUCT(($G$8:$G$33&gt;0)*($G$8:$G$33))</f>
        <v>316221.21464530908</v>
      </c>
      <c r="G64" s="79" cm="1">
        <f t="array" ref="G64">(VLOOKUP($B64,$E$8:$G$33,3,0)*(-(VLOOKUP(G$50,$E$8:$G$33,3,0))))/SUMPRODUCT(($G$8:$G$33&gt;0)*($G$8:$G$33))</f>
        <v>59446.144475357833</v>
      </c>
      <c r="H64" s="79" cm="1">
        <f t="array" ref="H64">(VLOOKUP($B64,$E$8:$G$33,3,0)*(-(VLOOKUP(H$50,$E$8:$G$33,3,0))))/SUMPRODUCT(($G$8:$G$33&gt;0)*($G$8:$G$33))</f>
        <v>56036.019739906078</v>
      </c>
      <c r="I64" s="79" cm="1">
        <f t="array" ref="I64">(VLOOKUP($B64,$E$8:$G$33,3,0)*(-(VLOOKUP(I$50,$E$8:$G$33,3,0))))/SUMPRODUCT(($G$8:$G$33&gt;0)*($G$8:$G$33))</f>
        <v>0</v>
      </c>
      <c r="J64" s="80">
        <f t="shared" si="2"/>
        <v>676370.88528356387</v>
      </c>
      <c r="K64" s="17"/>
      <c r="L64" s="17"/>
    </row>
    <row r="65" spans="2:17" x14ac:dyDescent="0.3">
      <c r="B65" s="78" t="s">
        <v>43</v>
      </c>
      <c r="C65" s="79" cm="1">
        <f t="array" ref="C65">(VLOOKUP($B65,$E$8:$G$33,3,0)*(-(VLOOKUP(C$50,$E$8:$G$33,3,0))))/SUMPRODUCT(($G$8:$G$33&gt;0)*($G$8:$G$33))</f>
        <v>64195.524888588661</v>
      </c>
      <c r="D65" s="79" cm="1">
        <f t="array" ref="D65">(VLOOKUP($B65,$E$8:$G$33,3,0)*(-(VLOOKUP(D$50,$E$8:$G$33,3,0))))/SUMPRODUCT(($G$8:$G$33&gt;0)*($G$8:$G$33))</f>
        <v>71104.242367705316</v>
      </c>
      <c r="E65" s="79" cm="1">
        <f t="array" ref="E65">(VLOOKUP($B65,$E$8:$G$33,3,0)*(-(VLOOKUP(E$50,$E$8:$G$33,3,0))))/SUMPRODUCT(($G$8:$G$33&gt;0)*($G$8:$G$33))</f>
        <v>1313.3372731665715</v>
      </c>
      <c r="F65" s="79" cm="1">
        <f t="array" ref="F65">(VLOOKUP($B65,$E$8:$G$33,3,0)*(-(VLOOKUP(F$50,$E$8:$G$33,3,0))))/SUMPRODUCT(($G$8:$G$33&gt;0)*($G$8:$G$33))</f>
        <v>176565.99555188496</v>
      </c>
      <c r="G65" s="79" cm="1">
        <f t="array" ref="G65">(VLOOKUP($B65,$E$8:$G$33,3,0)*(-(VLOOKUP(G$50,$E$8:$G$33,3,0))))/SUMPRODUCT(($G$8:$G$33&gt;0)*($G$8:$G$33))</f>
        <v>33192.48423223538</v>
      </c>
      <c r="H65" s="79" cm="1">
        <f t="array" ref="H65">(VLOOKUP($B65,$E$8:$G$33,3,0)*(-(VLOOKUP(H$50,$E$8:$G$33,3,0))))/SUMPRODUCT(($G$8:$G$33&gt;0)*($G$8:$G$33))</f>
        <v>31288.399240510495</v>
      </c>
      <c r="I65" s="79" cm="1">
        <f t="array" ref="I65">(VLOOKUP($B65,$E$8:$G$33,3,0)*(-(VLOOKUP(I$50,$E$8:$G$33,3,0))))/SUMPRODUCT(($G$8:$G$33&gt;0)*($G$8:$G$33))</f>
        <v>0</v>
      </c>
      <c r="J65" s="80">
        <f t="shared" si="2"/>
        <v>377659.98355409136</v>
      </c>
      <c r="K65" s="17"/>
      <c r="L65" s="17"/>
    </row>
    <row r="66" spans="2:17" x14ac:dyDescent="0.3">
      <c r="B66" s="78" t="s">
        <v>45</v>
      </c>
      <c r="C66" s="79" cm="1">
        <f t="array" ref="C66">(VLOOKUP($B66,$E$8:$G$33,3,0)*(-(VLOOKUP(C$50,$E$8:$G$33,3,0))))/SUMPRODUCT(($G$8:$G$33&gt;0)*($G$8:$G$33))</f>
        <v>18179.739684253102</v>
      </c>
      <c r="D66" s="79" cm="1">
        <f t="array" ref="D66">(VLOOKUP($B66,$E$8:$G$33,3,0)*(-(VLOOKUP(D$50,$E$8:$G$33,3,0))))/SUMPRODUCT(($G$8:$G$33&gt;0)*($G$8:$G$33))</f>
        <v>20136.241878765366</v>
      </c>
      <c r="E66" s="79" cm="1">
        <f t="array" ref="E66">(VLOOKUP($B66,$E$8:$G$33,3,0)*(-(VLOOKUP(E$50,$E$8:$G$33,3,0))))/SUMPRODUCT(($G$8:$G$33&gt;0)*($G$8:$G$33))</f>
        <v>371.92825800913852</v>
      </c>
      <c r="F66" s="79" cm="1">
        <f t="array" ref="F66">(VLOOKUP($B66,$E$8:$G$33,3,0)*(-(VLOOKUP(F$50,$E$8:$G$33,3,0))))/SUMPRODUCT(($G$8:$G$33&gt;0)*($G$8:$G$33))</f>
        <v>50002.299097874551</v>
      </c>
      <c r="G66" s="79" cm="1">
        <f t="array" ref="G66">(VLOOKUP($B66,$E$8:$G$33,3,0)*(-(VLOOKUP(G$50,$E$8:$G$33,3,0))))/SUMPRODUCT(($G$8:$G$33&gt;0)*($G$8:$G$33))</f>
        <v>9399.8876691633723</v>
      </c>
      <c r="H66" s="79" cm="1">
        <f t="array" ref="H66">(VLOOKUP($B66,$E$8:$G$33,3,0)*(-(VLOOKUP(H$50,$E$8:$G$33,3,0))))/SUMPRODUCT(($G$8:$G$33&gt;0)*($G$8:$G$33))</f>
        <v>8860.6636415332941</v>
      </c>
      <c r="I66" s="79" cm="1">
        <f t="array" ref="I66">(VLOOKUP($B66,$E$8:$G$33,3,0)*(-(VLOOKUP(I$50,$E$8:$G$33,3,0))))/SUMPRODUCT(($G$8:$G$33&gt;0)*($G$8:$G$33))</f>
        <v>0</v>
      </c>
      <c r="J66" s="80">
        <f>SUM(C66:I66)</f>
        <v>106950.76022959882</v>
      </c>
      <c r="K66" s="17"/>
      <c r="L66" s="17"/>
    </row>
    <row r="67" spans="2:17" x14ac:dyDescent="0.3">
      <c r="B67" s="78" t="s">
        <v>50</v>
      </c>
      <c r="C67" s="79" cm="1">
        <f t="array" ref="C67">(VLOOKUP($B67,$E$8:$G$33,3,0)*(-(VLOOKUP(C$50,$E$8:$G$33,3,0))))/SUMPRODUCT(($G$8:$G$33&gt;0)*($G$8:$G$33))</f>
        <v>169.29863890987511</v>
      </c>
      <c r="D67" s="79" cm="1">
        <f t="array" ref="D67">(VLOOKUP($B67,$E$8:$G$33,3,0)*(-(VLOOKUP(D$50,$E$8:$G$33,3,0))))/SUMPRODUCT(($G$8:$G$33&gt;0)*($G$8:$G$33))</f>
        <v>187.51854548213566</v>
      </c>
      <c r="E67" s="79" cm="1">
        <f t="array" ref="E67">(VLOOKUP($B67,$E$8:$G$33,3,0)*(-(VLOOKUP(E$50,$E$8:$G$33,3,0))))/SUMPRODUCT(($G$8:$G$33&gt;0)*($G$8:$G$33))</f>
        <v>3.4635780790419464</v>
      </c>
      <c r="F67" s="79" cm="1">
        <f t="array" ref="F67">(VLOOKUP($B67,$E$8:$G$33,3,0)*(-(VLOOKUP(F$50,$E$8:$G$33,3,0))))/SUMPRODUCT(($G$8:$G$33&gt;0)*($G$8:$G$33))</f>
        <v>465.64589629229476</v>
      </c>
      <c r="G67" s="79" cm="1">
        <f t="array" ref="G67">(VLOOKUP($B67,$E$8:$G$33,3,0)*(-(VLOOKUP(G$50,$E$8:$G$33,3,0))))/SUMPRODUCT(($G$8:$G$33&gt;0)*($G$8:$G$33))</f>
        <v>87.536357282029897</v>
      </c>
      <c r="H67" s="79" cm="1">
        <f t="array" ref="H67">(VLOOKUP($B67,$E$8:$G$33,3,0)*(-(VLOOKUP(H$50,$E$8:$G$33,3,0))))/SUMPRODUCT(($G$8:$G$33&gt;0)*($G$8:$G$33))</f>
        <v>82.514839068303971</v>
      </c>
      <c r="I67" s="79" cm="1">
        <f t="array" ref="I67">(VLOOKUP($B67,$E$8:$G$33,3,0)*(-(VLOOKUP(I$50,$E$8:$G$33,3,0))))/SUMPRODUCT(($G$8:$G$33&gt;0)*($G$8:$G$33))</f>
        <v>0</v>
      </c>
      <c r="J67" s="80">
        <f>SUM(C67:I67)</f>
        <v>995.97785511368136</v>
      </c>
      <c r="K67" s="17"/>
      <c r="L67" s="17"/>
    </row>
    <row r="68" spans="2:17" x14ac:dyDescent="0.3">
      <c r="B68" s="78" t="s">
        <v>51</v>
      </c>
      <c r="C68" s="79" cm="1">
        <f t="array" ref="C68">(VLOOKUP($B68,$E$8:$G$33,3,0)*(-(VLOOKUP(C$50,$E$8:$G$33,3,0))))/SUMPRODUCT(($G$8:$G$33&gt;0)*($G$8:$G$33))</f>
        <v>1046.8558403514346</v>
      </c>
      <c r="D68" s="79" cm="1">
        <f t="array" ref="D68">(VLOOKUP($B68,$E$8:$G$33,3,0)*(-(VLOOKUP(D$50,$E$8:$G$33,3,0))))/SUMPRODUCT(($G$8:$G$33&gt;0)*($G$8:$G$33))</f>
        <v>1159.5183858310952</v>
      </c>
      <c r="E68" s="79" cm="1">
        <f t="array" ref="E68">(VLOOKUP($B68,$E$8:$G$33,3,0)*(-(VLOOKUP(E$50,$E$8:$G$33,3,0))))/SUMPRODUCT(($G$8:$G$33&gt;0)*($G$8:$G$33))</f>
        <v>21.416988133545882</v>
      </c>
      <c r="F68" s="79" cm="1">
        <f t="array" ref="F68">(VLOOKUP($B68,$E$8:$G$33,3,0)*(-(VLOOKUP(F$50,$E$8:$G$33,3,0))))/SUMPRODUCT(($G$8:$G$33&gt;0)*($G$8:$G$33))</f>
        <v>2879.3150920059384</v>
      </c>
      <c r="G68" s="79" cm="1">
        <f t="array" ref="G68">(VLOOKUP($B68,$E$8:$G$33,3,0)*(-(VLOOKUP(G$50,$E$8:$G$33,3,0))))/SUMPRODUCT(($G$8:$G$33&gt;0)*($G$8:$G$33))</f>
        <v>541.27987947124393</v>
      </c>
      <c r="H68" s="79" cm="1">
        <f t="array" ref="H68">(VLOOKUP($B68,$E$8:$G$33,3,0)*(-(VLOOKUP(H$50,$E$8:$G$33,3,0))))/SUMPRODUCT(($G$8:$G$33&gt;0)*($G$8:$G$33))</f>
        <v>510.22938961899814</v>
      </c>
      <c r="I68" s="79" cm="1">
        <f t="array" ref="I68">(VLOOKUP($B68,$E$8:$G$33,3,0)*(-(VLOOKUP(I$50,$E$8:$G$33,3,0))))/SUMPRODUCT(($G$8:$G$33&gt;0)*($G$8:$G$33))</f>
        <v>0</v>
      </c>
      <c r="J68" s="80">
        <f>SUM(C68:I68)</f>
        <v>6158.6155754122574</v>
      </c>
      <c r="K68" s="17"/>
      <c r="L68" s="17"/>
    </row>
    <row r="69" spans="2:17" x14ac:dyDescent="0.3">
      <c r="B69" s="7" t="s">
        <v>52</v>
      </c>
      <c r="C69" s="82">
        <f t="shared" ref="C69:J69" si="3">SUM(C51:C68)</f>
        <v>23194427.496479094</v>
      </c>
      <c r="D69" s="82">
        <f t="shared" si="3"/>
        <v>25690610.009841695</v>
      </c>
      <c r="E69" s="82">
        <f t="shared" si="3"/>
        <v>474520.71174357703</v>
      </c>
      <c r="F69" s="82">
        <f t="shared" si="3"/>
        <v>63794901.42466037</v>
      </c>
      <c r="G69" s="82">
        <f t="shared" si="3"/>
        <v>11992746.695174415</v>
      </c>
      <c r="H69" s="82">
        <f t="shared" si="3"/>
        <v>11304783.455301484</v>
      </c>
      <c r="I69" s="82">
        <f t="shared" si="3"/>
        <v>0</v>
      </c>
      <c r="J69" s="82">
        <f t="shared" si="3"/>
        <v>136451989.79320064</v>
      </c>
      <c r="K69" s="17"/>
      <c r="L69" s="83"/>
    </row>
    <row r="70" spans="2:17" x14ac:dyDescent="0.3">
      <c r="B70"/>
      <c r="C70" s="17"/>
      <c r="D70" s="17"/>
      <c r="E70" s="17"/>
      <c r="F70" s="17"/>
      <c r="G70" s="17"/>
      <c r="H70" s="17"/>
      <c r="K70" s="83"/>
      <c r="Q70" s="17"/>
    </row>
    <row r="71" spans="2:17" x14ac:dyDescent="0.3">
      <c r="B71" s="19"/>
      <c r="C71" s="83"/>
      <c r="D71" s="83"/>
      <c r="E71" s="83"/>
      <c r="F71" s="83"/>
      <c r="G71" s="83"/>
      <c r="H71" s="83"/>
      <c r="J71" s="84">
        <f t="array" ref="J71">-SUMPRODUCT(($G$8:$G$33&lt;0)*($G$8:$G$33))</f>
        <v>136451989.79320064</v>
      </c>
    </row>
    <row r="72" spans="2:17" x14ac:dyDescent="0.3">
      <c r="B72"/>
      <c r="C72"/>
      <c r="D72"/>
      <c r="E72"/>
      <c r="F72"/>
      <c r="G72"/>
      <c r="H72"/>
      <c r="J72" s="85">
        <f>J69-J71</f>
        <v>0</v>
      </c>
    </row>
    <row r="73" spans="2:17" x14ac:dyDescent="0.3">
      <c r="B73"/>
      <c r="C73"/>
      <c r="D73"/>
      <c r="E73"/>
      <c r="F73"/>
      <c r="G73"/>
      <c r="H73"/>
      <c r="J73" s="85">
        <f>J69-J6</f>
        <v>0</v>
      </c>
    </row>
  </sheetData>
  <mergeCells count="9">
    <mergeCell ref="J6:J7"/>
    <mergeCell ref="B49:B50"/>
    <mergeCell ref="C49:I49"/>
    <mergeCell ref="B6:B7"/>
    <mergeCell ref="C6:C7"/>
    <mergeCell ref="E6:E7"/>
    <mergeCell ref="F6:F7"/>
    <mergeCell ref="G6:G7"/>
    <mergeCell ref="I6:I7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2B462-93A5-428E-A06E-965D02E4EC4E}">
  <sheetPr codeName="Hoja7">
    <tabColor theme="9" tint="0.59999389629810485"/>
  </sheetPr>
  <dimension ref="B2:Q52"/>
  <sheetViews>
    <sheetView showGridLines="0" zoomScale="85" zoomScaleNormal="85" workbookViewId="0">
      <selection activeCell="H9" sqref="H9"/>
    </sheetView>
  </sheetViews>
  <sheetFormatPr baseColWidth="10" defaultColWidth="11.3984375" defaultRowHeight="13" x14ac:dyDescent="0.3"/>
  <cols>
    <col min="1" max="1" width="6.59765625" style="20" customWidth="1"/>
    <col min="2" max="2" width="24.8984375" style="20" customWidth="1"/>
    <col min="3" max="3" width="11.59765625" style="20" bestFit="1" customWidth="1"/>
    <col min="4" max="4" width="13.09765625" style="20" bestFit="1" customWidth="1"/>
    <col min="5" max="5" width="12.59765625" style="20" customWidth="1"/>
    <col min="6" max="6" width="12.296875" style="20" customWidth="1"/>
    <col min="7" max="7" width="14" style="20" customWidth="1"/>
    <col min="8" max="8" width="13.69921875" style="20" customWidth="1"/>
    <col min="9" max="9" width="13" style="20" customWidth="1"/>
    <col min="10" max="10" width="12.59765625" style="20" customWidth="1"/>
    <col min="11" max="11" width="12.09765625" style="20" customWidth="1"/>
    <col min="12" max="12" width="13.09765625" style="20" bestFit="1" customWidth="1"/>
    <col min="13" max="13" width="13.59765625" style="20" customWidth="1"/>
    <col min="14" max="14" width="16.3984375" style="20" customWidth="1"/>
    <col min="15" max="15" width="19.09765625" style="20" customWidth="1"/>
    <col min="16" max="16" width="13.59765625" style="20" customWidth="1"/>
    <col min="17" max="17" width="12.3984375" style="20" bestFit="1" customWidth="1"/>
    <col min="18" max="18" width="23.8984375" style="20" customWidth="1"/>
    <col min="19" max="16384" width="11.3984375" style="20"/>
  </cols>
  <sheetData>
    <row r="2" spans="2:17" x14ac:dyDescent="0.3">
      <c r="B2" s="19" t="s">
        <v>87</v>
      </c>
      <c r="C2" s="19"/>
      <c r="D2" s="19"/>
    </row>
    <row r="3" spans="2:17" x14ac:dyDescent="0.3">
      <c r="B3" s="21">
        <f>FechaFacturacion</f>
        <v>45839</v>
      </c>
      <c r="C3" s="22"/>
      <c r="D3" s="22"/>
      <c r="I3" s="23" t="s">
        <v>57</v>
      </c>
      <c r="J3" s="24"/>
      <c r="K3" s="24"/>
    </row>
    <row r="4" spans="2:17" x14ac:dyDescent="0.3">
      <c r="B4" s="25"/>
      <c r="D4" s="22"/>
      <c r="I4" s="26">
        <f>'Reliquidación TD'!$I$4</f>
        <v>8.7295690936106674E-3</v>
      </c>
      <c r="J4" s="27"/>
      <c r="K4" s="27"/>
    </row>
    <row r="6" spans="2:17" ht="12.75" customHeight="1" x14ac:dyDescent="0.3">
      <c r="B6" s="29" t="s">
        <v>6</v>
      </c>
      <c r="C6" s="29" t="s">
        <v>7</v>
      </c>
      <c r="D6" s="29" t="s">
        <v>8</v>
      </c>
      <c r="E6" s="29" t="s">
        <v>9</v>
      </c>
      <c r="F6" s="29" t="s">
        <v>10</v>
      </c>
      <c r="G6" s="29" t="s">
        <v>54</v>
      </c>
      <c r="H6" s="29" t="str">
        <f>"Saldo "&amp;TEXT(B3-1,"mmmmmmmmmm")</f>
        <v>Saldo junio</v>
      </c>
      <c r="I6" s="29" t="s">
        <v>58</v>
      </c>
      <c r="J6" s="29" t="s">
        <v>59</v>
      </c>
      <c r="K6" s="29" t="s">
        <v>60</v>
      </c>
      <c r="L6" s="30" t="s">
        <v>88</v>
      </c>
      <c r="M6" s="29" t="s">
        <v>89</v>
      </c>
      <c r="N6" s="31" t="s">
        <v>90</v>
      </c>
      <c r="O6" s="29" t="s">
        <v>64</v>
      </c>
      <c r="P6" s="29" t="s">
        <v>65</v>
      </c>
    </row>
    <row r="7" spans="2:17" x14ac:dyDescent="0.3">
      <c r="B7" s="33"/>
      <c r="C7" s="34"/>
      <c r="D7" s="34"/>
      <c r="E7" s="34"/>
      <c r="F7" s="34"/>
      <c r="G7" s="34"/>
      <c r="H7" s="35"/>
      <c r="I7" s="34"/>
      <c r="J7" s="34"/>
      <c r="K7" s="34"/>
      <c r="L7" s="30"/>
      <c r="M7" s="34"/>
      <c r="N7" s="36"/>
      <c r="O7" s="34"/>
      <c r="P7" s="34"/>
    </row>
    <row r="8" spans="2:17" ht="13.5" customHeight="1" x14ac:dyDescent="0.3">
      <c r="B8" s="33"/>
      <c r="C8" s="37" t="s">
        <v>12</v>
      </c>
      <c r="D8" s="37" t="s">
        <v>12</v>
      </c>
      <c r="E8" s="37" t="s">
        <v>12</v>
      </c>
      <c r="F8" s="37" t="s">
        <v>12</v>
      </c>
      <c r="G8" s="37" t="s">
        <v>13</v>
      </c>
      <c r="H8" s="37" t="s">
        <v>13</v>
      </c>
      <c r="I8" s="37" t="s">
        <v>13</v>
      </c>
      <c r="J8" s="37" t="s">
        <v>13</v>
      </c>
      <c r="K8" s="37" t="s">
        <v>13</v>
      </c>
      <c r="L8" s="37" t="s">
        <v>13</v>
      </c>
      <c r="M8" s="37" t="s">
        <v>13</v>
      </c>
      <c r="N8" s="38" t="s">
        <v>13</v>
      </c>
      <c r="O8" s="39" t="s">
        <v>13</v>
      </c>
      <c r="P8" s="39" t="s">
        <v>13</v>
      </c>
    </row>
    <row r="9" spans="2:17" x14ac:dyDescent="0.3">
      <c r="B9" s="40" t="s">
        <v>14</v>
      </c>
      <c r="C9" s="41">
        <f>SUMIF('Entrada CDRGL'!$E$8:$E$43,'Reliquidación CD RGL'!$B9,'Entrada CDRGL'!F$8:F$43)</f>
        <v>1585091</v>
      </c>
      <c r="D9" s="41">
        <f>SUMIF('Entrada CDRGL'!$E$8:$E$43,'Reliquidación CD RGL'!$B9,'Entrada CDRGL'!G$8:G$43)</f>
        <v>3507003</v>
      </c>
      <c r="E9" s="41">
        <f>SUMIF('Entrada CDRGL'!$E$8:$E$43,'Reliquidación CD RGL'!$B9,'Entrada CDRGL'!H$8:H$43)</f>
        <v>126789</v>
      </c>
      <c r="F9" s="41">
        <f>SUMIF('Entrada CDRGL'!$E$8:$E$43,'Reliquidación CD RGL'!$B9,'Entrada CDRGL'!I$8:I$43)</f>
        <v>18748</v>
      </c>
      <c r="G9" s="41">
        <f>SUMIF('Entrada CDRGL'!$E$8:$E$43,'Reliquidación CD RGL'!$B9,'Entrada CDRGL'!J$8:J$43)</f>
        <v>-158131.23742725479</v>
      </c>
      <c r="H9" s="41">
        <v>0</v>
      </c>
      <c r="I9" s="41">
        <f t="shared" ref="I9:I43" si="0">H9*($I$4+1)</f>
        <v>0</v>
      </c>
      <c r="J9" s="41">
        <v>0</v>
      </c>
      <c r="K9" s="41">
        <f>+J9*($I$4+1)</f>
        <v>0</v>
      </c>
      <c r="L9" s="41">
        <f>G9+I9+K9</f>
        <v>-158131.23742725479</v>
      </c>
      <c r="M9" s="41">
        <f>IF(L9&lt;0,-L9,0)</f>
        <v>158131.23742725479</v>
      </c>
      <c r="N9" s="41">
        <f>IF(L9&gt;0,L9,0)</f>
        <v>0</v>
      </c>
      <c r="O9" s="41">
        <f t="shared" ref="O9:O42" si="1">IF(OR($M$44=0,$N$44=0),0,((M9/$M$44-N9/$N$44)*$N$49))</f>
        <v>158131.23742725479</v>
      </c>
      <c r="P9" s="41">
        <f>L9+O9</f>
        <v>0</v>
      </c>
      <c r="Q9" s="86"/>
    </row>
    <row r="10" spans="2:17" x14ac:dyDescent="0.3">
      <c r="B10" s="42" t="s">
        <v>15</v>
      </c>
      <c r="C10" s="43">
        <f>SUMIF('Entrada CDRGL'!$E$8:$E$43,'Reliquidación CD RGL'!$B10,'Entrada CDRGL'!F$8:F$43)</f>
        <v>797826</v>
      </c>
      <c r="D10" s="43">
        <f>SUMIF('Entrada CDRGL'!$E$8:$E$43,'Reliquidación CD RGL'!$B10,'Entrada CDRGL'!G$8:G$43)</f>
        <v>3181304</v>
      </c>
      <c r="E10" s="43">
        <f>SUMIF('Entrada CDRGL'!$E$8:$E$43,'Reliquidación CD RGL'!$B10,'Entrada CDRGL'!H$8:H$43)</f>
        <v>331</v>
      </c>
      <c r="F10" s="43">
        <f>SUMIF('Entrada CDRGL'!$E$8:$E$43,'Reliquidación CD RGL'!$B10,'Entrada CDRGL'!I$8:I$43)</f>
        <v>22611</v>
      </c>
      <c r="G10" s="43">
        <f>SUMIF('Entrada CDRGL'!$E$8:$E$43,'Reliquidación CD RGL'!$B10,'Entrada CDRGL'!J$8:J$43)</f>
        <v>-19969086.228885639</v>
      </c>
      <c r="H10" s="43">
        <v>0</v>
      </c>
      <c r="I10" s="43">
        <f t="shared" si="0"/>
        <v>0</v>
      </c>
      <c r="J10" s="43">
        <v>0</v>
      </c>
      <c r="K10" s="43">
        <f t="shared" ref="K10:K43" si="2">+J10*($I$4+1)</f>
        <v>0</v>
      </c>
      <c r="L10" s="43">
        <f t="shared" ref="L10:L43" si="3">G10+I10+K10</f>
        <v>-19969086.228885639</v>
      </c>
      <c r="M10" s="43">
        <f t="shared" ref="M10:M43" si="4">IF(L10&lt;0,-L10,0)</f>
        <v>19969086.228885639</v>
      </c>
      <c r="N10" s="43">
        <f>IF(L10&gt;0,L10,0)</f>
        <v>0</v>
      </c>
      <c r="O10" s="43">
        <f t="shared" si="1"/>
        <v>19969086.228885639</v>
      </c>
      <c r="P10" s="43">
        <f t="shared" ref="P10:P43" si="5">L10+O10</f>
        <v>0</v>
      </c>
      <c r="Q10" s="86"/>
    </row>
    <row r="11" spans="2:17" x14ac:dyDescent="0.3">
      <c r="B11" s="42" t="s">
        <v>16</v>
      </c>
      <c r="C11" s="43">
        <f>SUMIF('Entrada CDRGL'!$E$8:$E$43,'Reliquidación CD RGL'!$B11,'Entrada CDRGL'!F$8:F$43)</f>
        <v>1450135.2</v>
      </c>
      <c r="D11" s="43">
        <f>SUMIF('Entrada CDRGL'!$E$8:$E$43,'Reliquidación CD RGL'!$B11,'Entrada CDRGL'!G$8:G$43)</f>
        <v>7146435.966</v>
      </c>
      <c r="E11" s="43">
        <f>SUMIF('Entrada CDRGL'!$E$8:$E$43,'Reliquidación CD RGL'!$B11,'Entrada CDRGL'!H$8:H$43)</f>
        <v>0</v>
      </c>
      <c r="F11" s="43">
        <f>SUMIF('Entrada CDRGL'!$E$8:$E$43,'Reliquidación CD RGL'!$B11,'Entrada CDRGL'!I$8:I$43)</f>
        <v>30134.800999999999</v>
      </c>
      <c r="G11" s="43">
        <f>SUMIF('Entrada CDRGL'!$E$8:$E$43,'Reliquidación CD RGL'!$B11,'Entrada CDRGL'!J$8:J$43)</f>
        <v>15742622.25730828</v>
      </c>
      <c r="H11" s="43">
        <v>0</v>
      </c>
      <c r="I11" s="43">
        <f t="shared" si="0"/>
        <v>0</v>
      </c>
      <c r="J11" s="43">
        <v>0</v>
      </c>
      <c r="K11" s="43">
        <f t="shared" si="2"/>
        <v>0</v>
      </c>
      <c r="L11" s="43">
        <f t="shared" si="3"/>
        <v>15742622.25730828</v>
      </c>
      <c r="M11" s="43">
        <f t="shared" si="4"/>
        <v>0</v>
      </c>
      <c r="N11" s="43">
        <f t="shared" ref="N11:N43" si="6">IF(L11&gt;0,L11,0)</f>
        <v>15742622.25730828</v>
      </c>
      <c r="O11" s="43">
        <f t="shared" si="1"/>
        <v>-12452726.641096059</v>
      </c>
      <c r="P11" s="43">
        <f t="shared" si="5"/>
        <v>3289895.6162122209</v>
      </c>
      <c r="Q11" s="86"/>
    </row>
    <row r="12" spans="2:17" x14ac:dyDescent="0.3">
      <c r="B12" s="42" t="s">
        <v>17</v>
      </c>
      <c r="C12" s="43">
        <f>SUMIF('Entrada CDRGL'!$E$8:$E$43,'Reliquidación CD RGL'!$B12,'Entrada CDRGL'!F$8:F$43)</f>
        <v>432958</v>
      </c>
      <c r="D12" s="43">
        <f>SUMIF('Entrada CDRGL'!$E$8:$E$43,'Reliquidación CD RGL'!$B12,'Entrada CDRGL'!G$8:G$43)</f>
        <v>1507192</v>
      </c>
      <c r="E12" s="43">
        <f>SUMIF('Entrada CDRGL'!$E$8:$E$43,'Reliquidación CD RGL'!$B12,'Entrada CDRGL'!H$8:H$43)</f>
        <v>0</v>
      </c>
      <c r="F12" s="43">
        <f>SUMIF('Entrada CDRGL'!$E$8:$E$43,'Reliquidación CD RGL'!$B12,'Entrada CDRGL'!I$8:I$43)</f>
        <v>0</v>
      </c>
      <c r="G12" s="43">
        <f>SUMIF('Entrada CDRGL'!$E$8:$E$43,'Reliquidación CD RGL'!$B12,'Entrada CDRGL'!J$8:J$43)</f>
        <v>3844602.5506123709</v>
      </c>
      <c r="H12" s="43">
        <v>0</v>
      </c>
      <c r="I12" s="43">
        <f t="shared" si="0"/>
        <v>0</v>
      </c>
      <c r="J12" s="43">
        <v>0</v>
      </c>
      <c r="K12" s="43">
        <f t="shared" si="2"/>
        <v>0</v>
      </c>
      <c r="L12" s="43">
        <f t="shared" si="3"/>
        <v>3844602.5506123709</v>
      </c>
      <c r="M12" s="43">
        <f t="shared" si="4"/>
        <v>0</v>
      </c>
      <c r="N12" s="43">
        <f t="shared" si="6"/>
        <v>3844602.5506123709</v>
      </c>
      <c r="O12" s="43">
        <f t="shared" si="1"/>
        <v>-3041156.919344292</v>
      </c>
      <c r="P12" s="43">
        <f t="shared" si="5"/>
        <v>803445.63126807893</v>
      </c>
      <c r="Q12" s="86"/>
    </row>
    <row r="13" spans="2:17" x14ac:dyDescent="0.3">
      <c r="B13" s="42" t="s">
        <v>18</v>
      </c>
      <c r="C13" s="43">
        <f>SUMIF('Entrada CDRGL'!$E$8:$E$43,'Reliquidación CD RGL'!$B13,'Entrada CDRGL'!F$8:F$43)</f>
        <v>140039720.21649611</v>
      </c>
      <c r="D13" s="43">
        <f>SUMIF('Entrada CDRGL'!$E$8:$E$43,'Reliquidación CD RGL'!$B13,'Entrada CDRGL'!G$8:G$43)</f>
        <v>529892016.51421052</v>
      </c>
      <c r="E13" s="43">
        <f>SUMIF('Entrada CDRGL'!$E$8:$E$43,'Reliquidación CD RGL'!$B13,'Entrada CDRGL'!H$8:H$43)</f>
        <v>4485187.2450000001</v>
      </c>
      <c r="F13" s="43">
        <f>SUMIF('Entrada CDRGL'!$E$8:$E$43,'Reliquidación CD RGL'!$B13,'Entrada CDRGL'!I$8:I$43)</f>
        <v>656771.76399999997</v>
      </c>
      <c r="G13" s="43">
        <f>SUMIF('Entrada CDRGL'!$E$8:$E$43,'Reliquidación CD RGL'!$B13,'Entrada CDRGL'!J$8:J$43)</f>
        <v>245842228.13431069</v>
      </c>
      <c r="H13" s="43">
        <v>0</v>
      </c>
      <c r="I13" s="43">
        <f t="shared" si="0"/>
        <v>0</v>
      </c>
      <c r="J13" s="43">
        <v>0</v>
      </c>
      <c r="K13" s="43">
        <f t="shared" si="2"/>
        <v>0</v>
      </c>
      <c r="L13" s="43">
        <f t="shared" si="3"/>
        <v>245842228.13431069</v>
      </c>
      <c r="M13" s="43">
        <f t="shared" si="4"/>
        <v>0</v>
      </c>
      <c r="N13" s="43">
        <f t="shared" si="6"/>
        <v>245842228.13431069</v>
      </c>
      <c r="O13" s="43">
        <f t="shared" si="1"/>
        <v>-194466081.55597031</v>
      </c>
      <c r="P13" s="43">
        <f t="shared" si="5"/>
        <v>51376146.578340381</v>
      </c>
      <c r="Q13" s="86"/>
    </row>
    <row r="14" spans="2:17" x14ac:dyDescent="0.3">
      <c r="B14" s="42" t="s">
        <v>20</v>
      </c>
      <c r="C14" s="43">
        <f>SUMIF('Entrada CDRGL'!$E$8:$E$43,'Reliquidación CD RGL'!$B14,'Entrada CDRGL'!F$8:F$43)</f>
        <v>276412.52100000001</v>
      </c>
      <c r="D14" s="43">
        <f>SUMIF('Entrada CDRGL'!$E$8:$E$43,'Reliquidación CD RGL'!$B14,'Entrada CDRGL'!G$8:G$43)</f>
        <v>919955.61899999995</v>
      </c>
      <c r="E14" s="43">
        <f>SUMIF('Entrada CDRGL'!$E$8:$E$43,'Reliquidación CD RGL'!$B14,'Entrada CDRGL'!H$8:H$43)</f>
        <v>0</v>
      </c>
      <c r="F14" s="43">
        <f>SUMIF('Entrada CDRGL'!$E$8:$E$43,'Reliquidación CD RGL'!$B14,'Entrada CDRGL'!I$8:I$43)</f>
        <v>0</v>
      </c>
      <c r="G14" s="43">
        <f>SUMIF('Entrada CDRGL'!$E$8:$E$43,'Reliquidación CD RGL'!$B14,'Entrada CDRGL'!J$8:J$43)</f>
        <v>-19554438.88940439</v>
      </c>
      <c r="H14" s="43">
        <v>0</v>
      </c>
      <c r="I14" s="43">
        <f t="shared" si="0"/>
        <v>0</v>
      </c>
      <c r="J14" s="43">
        <v>0</v>
      </c>
      <c r="K14" s="43">
        <f t="shared" si="2"/>
        <v>0</v>
      </c>
      <c r="L14" s="43">
        <f t="shared" si="3"/>
        <v>-19554438.88940439</v>
      </c>
      <c r="M14" s="43">
        <f t="shared" si="4"/>
        <v>19554438.88940439</v>
      </c>
      <c r="N14" s="43">
        <f t="shared" si="6"/>
        <v>0</v>
      </c>
      <c r="O14" s="43">
        <f t="shared" si="1"/>
        <v>19554438.889404394</v>
      </c>
      <c r="P14" s="43">
        <f t="shared" si="5"/>
        <v>0</v>
      </c>
      <c r="Q14" s="86"/>
    </row>
    <row r="15" spans="2:17" x14ac:dyDescent="0.3">
      <c r="B15" s="42" t="s">
        <v>21</v>
      </c>
      <c r="C15" s="43">
        <f>SUMIF('Entrada CDRGL'!$E$8:$E$43,'Reliquidación CD RGL'!$B15,'Entrada CDRGL'!F$8:F$43)</f>
        <v>10988646.189813221</v>
      </c>
      <c r="D15" s="43">
        <f>SUMIF('Entrada CDRGL'!$E$8:$E$43,'Reliquidación CD RGL'!$B15,'Entrada CDRGL'!G$8:G$43)</f>
        <v>20872323.987</v>
      </c>
      <c r="E15" s="43">
        <f>SUMIF('Entrada CDRGL'!$E$8:$E$43,'Reliquidación CD RGL'!$B15,'Entrada CDRGL'!H$8:H$43)</f>
        <v>432597.261</v>
      </c>
      <c r="F15" s="43">
        <f>SUMIF('Entrada CDRGL'!$E$8:$E$43,'Reliquidación CD RGL'!$B15,'Entrada CDRGL'!I$8:I$43)</f>
        <v>33995.805</v>
      </c>
      <c r="G15" s="43">
        <f>SUMIF('Entrada CDRGL'!$E$8:$E$43,'Reliquidación CD RGL'!$B15,'Entrada CDRGL'!J$8:J$43)</f>
        <v>-198572001.61223879</v>
      </c>
      <c r="H15" s="43">
        <v>0</v>
      </c>
      <c r="I15" s="43">
        <f t="shared" si="0"/>
        <v>0</v>
      </c>
      <c r="J15" s="43">
        <v>0</v>
      </c>
      <c r="K15" s="43">
        <f t="shared" si="2"/>
        <v>0</v>
      </c>
      <c r="L15" s="43">
        <f t="shared" si="3"/>
        <v>-198572001.61223879</v>
      </c>
      <c r="M15" s="43">
        <f t="shared" si="4"/>
        <v>198572001.61223879</v>
      </c>
      <c r="N15" s="43">
        <f t="shared" si="6"/>
        <v>0</v>
      </c>
      <c r="O15" s="43">
        <f t="shared" si="1"/>
        <v>198572001.61223879</v>
      </c>
      <c r="P15" s="43">
        <f t="shared" si="5"/>
        <v>0</v>
      </c>
      <c r="Q15" s="86"/>
    </row>
    <row r="16" spans="2:17" x14ac:dyDescent="0.3">
      <c r="B16" s="42" t="s">
        <v>22</v>
      </c>
      <c r="C16" s="43">
        <f>SUMIF('Entrada CDRGL'!$E$8:$E$43,'Reliquidación CD RGL'!$B16,'Entrada CDRGL'!F$8:F$43)</f>
        <v>0</v>
      </c>
      <c r="D16" s="43">
        <f>SUMIF('Entrada CDRGL'!$E$8:$E$43,'Reliquidación CD RGL'!$B16,'Entrada CDRGL'!G$8:G$43)</f>
        <v>0</v>
      </c>
      <c r="E16" s="43">
        <f>SUMIF('Entrada CDRGL'!$E$8:$E$43,'Reliquidación CD RGL'!$B16,'Entrada CDRGL'!H$8:H$43)</f>
        <v>0</v>
      </c>
      <c r="F16" s="43">
        <f>SUMIF('Entrada CDRGL'!$E$8:$E$43,'Reliquidación CD RGL'!$B16,'Entrada CDRGL'!I$8:I$43)</f>
        <v>0</v>
      </c>
      <c r="G16" s="43">
        <f>SUMIF('Entrada CDRGL'!$E$8:$E$43,'Reliquidación CD RGL'!$B16,'Entrada CDRGL'!J$8:J$43)</f>
        <v>0</v>
      </c>
      <c r="H16" s="43">
        <v>0</v>
      </c>
      <c r="I16" s="43">
        <f t="shared" si="0"/>
        <v>0</v>
      </c>
      <c r="J16" s="43">
        <v>0</v>
      </c>
      <c r="K16" s="43">
        <f t="shared" si="2"/>
        <v>0</v>
      </c>
      <c r="L16" s="43">
        <f t="shared" si="3"/>
        <v>0</v>
      </c>
      <c r="M16" s="43">
        <f t="shared" si="4"/>
        <v>0</v>
      </c>
      <c r="N16" s="43">
        <f t="shared" si="6"/>
        <v>0</v>
      </c>
      <c r="O16" s="43">
        <f t="shared" si="1"/>
        <v>0</v>
      </c>
      <c r="P16" s="43">
        <f t="shared" si="5"/>
        <v>0</v>
      </c>
      <c r="Q16" s="86"/>
    </row>
    <row r="17" spans="2:17" x14ac:dyDescent="0.3">
      <c r="B17" s="42" t="s">
        <v>23</v>
      </c>
      <c r="C17" s="43">
        <f>SUMIF('Entrada CDRGL'!$E$8:$E$43,'Reliquidación CD RGL'!$B17,'Entrada CDRGL'!F$8:F$43)</f>
        <v>0</v>
      </c>
      <c r="D17" s="43">
        <f>SUMIF('Entrada CDRGL'!$E$8:$E$43,'Reliquidación CD RGL'!$B17,'Entrada CDRGL'!G$8:G$43)</f>
        <v>0</v>
      </c>
      <c r="E17" s="43">
        <f>SUMIF('Entrada CDRGL'!$E$8:$E$43,'Reliquidación CD RGL'!$B17,'Entrada CDRGL'!H$8:H$43)</f>
        <v>0</v>
      </c>
      <c r="F17" s="43">
        <f>SUMIF('Entrada CDRGL'!$E$8:$E$43,'Reliquidación CD RGL'!$B17,'Entrada CDRGL'!I$8:I$43)</f>
        <v>0</v>
      </c>
      <c r="G17" s="43">
        <f>SUMIF('Entrada CDRGL'!$E$8:$E$43,'Reliquidación CD RGL'!$B17,'Entrada CDRGL'!J$8:J$43)</f>
        <v>0</v>
      </c>
      <c r="H17" s="43">
        <v>0</v>
      </c>
      <c r="I17" s="43">
        <f t="shared" si="0"/>
        <v>0</v>
      </c>
      <c r="J17" s="43">
        <v>0</v>
      </c>
      <c r="K17" s="43">
        <f t="shared" si="2"/>
        <v>0</v>
      </c>
      <c r="L17" s="43">
        <f t="shared" si="3"/>
        <v>0</v>
      </c>
      <c r="M17" s="43">
        <f t="shared" si="4"/>
        <v>0</v>
      </c>
      <c r="N17" s="43">
        <f t="shared" si="6"/>
        <v>0</v>
      </c>
      <c r="O17" s="43">
        <f t="shared" si="1"/>
        <v>0</v>
      </c>
      <c r="P17" s="43">
        <f t="shared" si="5"/>
        <v>0</v>
      </c>
      <c r="Q17" s="86"/>
    </row>
    <row r="18" spans="2:17" x14ac:dyDescent="0.3">
      <c r="B18" s="42" t="s">
        <v>24</v>
      </c>
      <c r="C18" s="43">
        <f>SUMIF('Entrada CDRGL'!$E$8:$E$43,'Reliquidación CD RGL'!$B18,'Entrada CDRGL'!F$8:F$43)+SUMIF('Entrada CDRGL'!$E$8:$E$43,"LUZ ANDES",'Entrada CDRGL'!F$8:F$43)</f>
        <v>102568823.286</v>
      </c>
      <c r="D18" s="43">
        <f>SUMIF('Entrada CDRGL'!$E$8:$E$43,'Reliquidación CD RGL'!$B18,'Entrada CDRGL'!G$8:G$43)+SUMIF('Entrada CDRGL'!$E$8:$E$43,"LUZ ANDES",'Entrada CDRGL'!G$8:G$43)</f>
        <v>616173126.97099996</v>
      </c>
      <c r="E18" s="43">
        <f>SUMIF('Entrada CDRGL'!$E$8:$E$43,'Reliquidación CD RGL'!$B18,'Entrada CDRGL'!H$8:H$43)+SUMIF('Entrada CDRGL'!$E$8:$E$43,"LUZ ANDES",'Entrada CDRGL'!H$8:H$43)</f>
        <v>422173.5</v>
      </c>
      <c r="F18" s="43">
        <f>SUMIF('Entrada CDRGL'!$E$8:$E$43,'Reliquidación CD RGL'!$B18,'Entrada CDRGL'!I$8:I$43)+SUMIF('Entrada CDRGL'!$E$8:$E$43,"LUZ ANDES",'Entrada CDRGL'!I$8:I$43)</f>
        <v>944776.95</v>
      </c>
      <c r="G18" s="43">
        <f>SUMIF('Entrada CDRGL'!$E$8:$E$43,'Reliquidación CD RGL'!$B18,'Entrada CDRGL'!J$8:J$43)+SUMIF('Entrada CDRGL'!$E$8:$E$43,"LUZ ANDES",'Entrada CDRGL'!J$8:J$43)</f>
        <v>1117404862.2801597</v>
      </c>
      <c r="H18" s="43">
        <v>0</v>
      </c>
      <c r="I18" s="43">
        <f t="shared" si="0"/>
        <v>0</v>
      </c>
      <c r="J18" s="43">
        <v>0</v>
      </c>
      <c r="K18" s="43">
        <f t="shared" si="2"/>
        <v>0</v>
      </c>
      <c r="L18" s="43">
        <f t="shared" si="3"/>
        <v>1117404862.2801597</v>
      </c>
      <c r="M18" s="43">
        <f t="shared" si="4"/>
        <v>0</v>
      </c>
      <c r="N18" s="43">
        <f t="shared" si="6"/>
        <v>1117404862.2801597</v>
      </c>
      <c r="O18" s="43">
        <f t="shared" si="1"/>
        <v>-883889422.61170673</v>
      </c>
      <c r="P18" s="43">
        <f t="shared" si="5"/>
        <v>233515439.66845298</v>
      </c>
      <c r="Q18" s="86"/>
    </row>
    <row r="19" spans="2:17" x14ac:dyDescent="0.3">
      <c r="B19" s="42" t="s">
        <v>26</v>
      </c>
      <c r="C19" s="43">
        <f>SUMIF('Entrada CDRGL'!$E$8:$E$43,'Reliquidación CD RGL'!$B19,'Entrada CDRGL'!F$8:F$43)</f>
        <v>31118094.763999999</v>
      </c>
      <c r="D19" s="43">
        <f>SUMIF('Entrada CDRGL'!$E$8:$E$43,'Reliquidación CD RGL'!$B19,'Entrada CDRGL'!G$8:G$43)</f>
        <v>75983954.803727269</v>
      </c>
      <c r="E19" s="43">
        <f>SUMIF('Entrada CDRGL'!$E$8:$E$43,'Reliquidación CD RGL'!$B19,'Entrada CDRGL'!H$8:H$43)</f>
        <v>1218497.138</v>
      </c>
      <c r="F19" s="43">
        <f>SUMIF('Entrada CDRGL'!$E$8:$E$43,'Reliquidación CD RGL'!$B19,'Entrada CDRGL'!I$8:I$43)</f>
        <v>136265.35399999999</v>
      </c>
      <c r="G19" s="43">
        <f>SUMIF('Entrada CDRGL'!$E$8:$E$43,'Reliquidación CD RGL'!$B19,'Entrada CDRGL'!J$8:J$43)</f>
        <v>-66638418.481630407</v>
      </c>
      <c r="H19" s="43">
        <v>0</v>
      </c>
      <c r="I19" s="43">
        <f t="shared" si="0"/>
        <v>0</v>
      </c>
      <c r="J19" s="43">
        <v>0</v>
      </c>
      <c r="K19" s="43">
        <f t="shared" si="2"/>
        <v>0</v>
      </c>
      <c r="L19" s="43">
        <f t="shared" si="3"/>
        <v>-66638418.481630407</v>
      </c>
      <c r="M19" s="43">
        <f t="shared" si="4"/>
        <v>66638418.481630407</v>
      </c>
      <c r="N19" s="43">
        <f t="shared" si="6"/>
        <v>0</v>
      </c>
      <c r="O19" s="43">
        <f t="shared" si="1"/>
        <v>66638418.481630407</v>
      </c>
      <c r="P19" s="43">
        <f t="shared" si="5"/>
        <v>0</v>
      </c>
      <c r="Q19" s="86"/>
    </row>
    <row r="20" spans="2:17" x14ac:dyDescent="0.3">
      <c r="B20" s="42" t="s">
        <v>27</v>
      </c>
      <c r="C20" s="43">
        <f>SUMIF('Entrada CDRGL'!$E$8:$E$43,'Reliquidación CD RGL'!$B20,'Entrada CDRGL'!F$8:F$43)</f>
        <v>3566656.8309999998</v>
      </c>
      <c r="D20" s="43">
        <f>SUMIF('Entrada CDRGL'!$E$8:$E$43,'Reliquidación CD RGL'!$B20,'Entrada CDRGL'!G$8:G$43)</f>
        <v>21200534.309999999</v>
      </c>
      <c r="E20" s="43">
        <f>SUMIF('Entrada CDRGL'!$E$8:$E$43,'Reliquidación CD RGL'!$B20,'Entrada CDRGL'!H$8:H$43)</f>
        <v>0</v>
      </c>
      <c r="F20" s="43">
        <f>SUMIF('Entrada CDRGL'!$E$8:$E$43,'Reliquidación CD RGL'!$B20,'Entrada CDRGL'!I$8:I$43)</f>
        <v>14009.406000000001</v>
      </c>
      <c r="G20" s="43">
        <f>SUMIF('Entrada CDRGL'!$E$8:$E$43,'Reliquidación CD RGL'!$B20,'Entrada CDRGL'!J$8:J$43)</f>
        <v>48470675.122809127</v>
      </c>
      <c r="H20" s="43">
        <v>0</v>
      </c>
      <c r="I20" s="43">
        <f t="shared" si="0"/>
        <v>0</v>
      </c>
      <c r="J20" s="43">
        <v>0</v>
      </c>
      <c r="K20" s="43">
        <f t="shared" si="2"/>
        <v>0</v>
      </c>
      <c r="L20" s="43">
        <f t="shared" si="3"/>
        <v>48470675.122809127</v>
      </c>
      <c r="M20" s="43">
        <f t="shared" si="4"/>
        <v>0</v>
      </c>
      <c r="N20" s="43">
        <f t="shared" si="6"/>
        <v>48470675.122809127</v>
      </c>
      <c r="O20" s="43">
        <f t="shared" si="1"/>
        <v>-38341265.994202994</v>
      </c>
      <c r="P20" s="43">
        <f t="shared" si="5"/>
        <v>10129409.128606133</v>
      </c>
      <c r="Q20" s="86"/>
    </row>
    <row r="21" spans="2:17" x14ac:dyDescent="0.3">
      <c r="B21" s="42" t="s">
        <v>28</v>
      </c>
      <c r="C21" s="43">
        <f>SUMIF('Entrada CDRGL'!$E$8:$E$43,'Reliquidación CD RGL'!$B21,'Entrada CDRGL'!F$8:F$43)</f>
        <v>0</v>
      </c>
      <c r="D21" s="43">
        <f>SUMIF('Entrada CDRGL'!$E$8:$E$43,'Reliquidación CD RGL'!$B21,'Entrada CDRGL'!G$8:G$43)</f>
        <v>0</v>
      </c>
      <c r="E21" s="43">
        <f>SUMIF('Entrada CDRGL'!$E$8:$E$43,'Reliquidación CD RGL'!$B21,'Entrada CDRGL'!H$8:H$43)</f>
        <v>0</v>
      </c>
      <c r="F21" s="43">
        <f>SUMIF('Entrada CDRGL'!$E$8:$E$43,'Reliquidación CD RGL'!$B21,'Entrada CDRGL'!I$8:I$43)</f>
        <v>0</v>
      </c>
      <c r="G21" s="43">
        <f>SUMIF('Entrada CDRGL'!$E$8:$E$43,'Reliquidación CD RGL'!$B21,'Entrada CDRGL'!J$8:J$43)</f>
        <v>0</v>
      </c>
      <c r="H21" s="43">
        <v>0</v>
      </c>
      <c r="I21" s="43">
        <f t="shared" si="0"/>
        <v>0</v>
      </c>
      <c r="J21" s="43">
        <v>0</v>
      </c>
      <c r="K21" s="43">
        <f t="shared" si="2"/>
        <v>0</v>
      </c>
      <c r="L21" s="43">
        <f t="shared" si="3"/>
        <v>0</v>
      </c>
      <c r="M21" s="43">
        <f t="shared" si="4"/>
        <v>0</v>
      </c>
      <c r="N21" s="43">
        <f t="shared" si="6"/>
        <v>0</v>
      </c>
      <c r="O21" s="43">
        <f t="shared" si="1"/>
        <v>0</v>
      </c>
      <c r="P21" s="43">
        <f t="shared" si="5"/>
        <v>0</v>
      </c>
      <c r="Q21" s="86"/>
    </row>
    <row r="22" spans="2:17" x14ac:dyDescent="0.3">
      <c r="B22" s="42" t="s">
        <v>29</v>
      </c>
      <c r="C22" s="43">
        <f>SUMIF('Entrada CDRGL'!$E$8:$E$43,'Reliquidación CD RGL'!$B22,'Entrada CDRGL'!F$8:F$43)</f>
        <v>1523795</v>
      </c>
      <c r="D22" s="43">
        <f>SUMIF('Entrada CDRGL'!$E$8:$E$43,'Reliquidación CD RGL'!$B22,'Entrada CDRGL'!G$8:G$43)</f>
        <v>8934806</v>
      </c>
      <c r="E22" s="43">
        <f>SUMIF('Entrada CDRGL'!$E$8:$E$43,'Reliquidación CD RGL'!$B22,'Entrada CDRGL'!H$8:H$43)</f>
        <v>9577</v>
      </c>
      <c r="F22" s="43">
        <f>SUMIF('Entrada CDRGL'!$E$8:$E$43,'Reliquidación CD RGL'!$B22,'Entrada CDRGL'!I$8:I$43)</f>
        <v>6894</v>
      </c>
      <c r="G22" s="43">
        <f>SUMIF('Entrada CDRGL'!$E$8:$E$43,'Reliquidación CD RGL'!$B22,'Entrada CDRGL'!J$8:J$43)</f>
        <v>-4751614.4584578974</v>
      </c>
      <c r="H22" s="43">
        <v>0</v>
      </c>
      <c r="I22" s="43">
        <f t="shared" si="0"/>
        <v>0</v>
      </c>
      <c r="J22" s="43">
        <v>0</v>
      </c>
      <c r="K22" s="43">
        <f t="shared" si="2"/>
        <v>0</v>
      </c>
      <c r="L22" s="43">
        <f t="shared" si="3"/>
        <v>-4751614.4584578974</v>
      </c>
      <c r="M22" s="43">
        <f t="shared" si="4"/>
        <v>4751614.4584578974</v>
      </c>
      <c r="N22" s="43">
        <f t="shared" si="6"/>
        <v>0</v>
      </c>
      <c r="O22" s="43">
        <f t="shared" si="1"/>
        <v>4751614.4584578974</v>
      </c>
      <c r="P22" s="43">
        <f t="shared" si="5"/>
        <v>0</v>
      </c>
      <c r="Q22" s="86"/>
    </row>
    <row r="23" spans="2:17" x14ac:dyDescent="0.3">
      <c r="B23" s="42" t="s">
        <v>30</v>
      </c>
      <c r="C23" s="43">
        <f>SUMIF('Entrada CDRGL'!$E$8:$E$43,'Reliquidación CD RGL'!$B23,'Entrada CDRGL'!F$8:F$43)</f>
        <v>4014606</v>
      </c>
      <c r="D23" s="43">
        <f>SUMIF('Entrada CDRGL'!$E$8:$E$43,'Reliquidación CD RGL'!$B23,'Entrada CDRGL'!G$8:G$43)</f>
        <v>13469914</v>
      </c>
      <c r="E23" s="43">
        <f>SUMIF('Entrada CDRGL'!$E$8:$E$43,'Reliquidación CD RGL'!$B23,'Entrada CDRGL'!H$8:H$43)</f>
        <v>422455</v>
      </c>
      <c r="F23" s="43">
        <f>SUMIF('Entrada CDRGL'!$E$8:$E$43,'Reliquidación CD RGL'!$B23,'Entrada CDRGL'!I$8:I$43)</f>
        <v>77115</v>
      </c>
      <c r="G23" s="43">
        <f>SUMIF('Entrada CDRGL'!$E$8:$E$43,'Reliquidación CD RGL'!$B23,'Entrada CDRGL'!J$8:J$43)</f>
        <v>23769268.98167957</v>
      </c>
      <c r="H23" s="43">
        <v>0</v>
      </c>
      <c r="I23" s="43">
        <f t="shared" si="0"/>
        <v>0</v>
      </c>
      <c r="J23" s="43">
        <v>0</v>
      </c>
      <c r="K23" s="43">
        <f t="shared" si="2"/>
        <v>0</v>
      </c>
      <c r="L23" s="43">
        <f t="shared" si="3"/>
        <v>23769268.98167957</v>
      </c>
      <c r="M23" s="43">
        <f t="shared" si="4"/>
        <v>0</v>
      </c>
      <c r="N23" s="43">
        <f t="shared" si="6"/>
        <v>23769268.98167957</v>
      </c>
      <c r="O23" s="43">
        <f t="shared" si="1"/>
        <v>-18801963.50072043</v>
      </c>
      <c r="P23" s="43">
        <f t="shared" si="5"/>
        <v>4967305.4809591398</v>
      </c>
      <c r="Q23" s="86"/>
    </row>
    <row r="24" spans="2:17" x14ac:dyDescent="0.3">
      <c r="B24" s="42" t="s">
        <v>31</v>
      </c>
      <c r="C24" s="43">
        <f>SUMIF('Entrada CDRGL'!$E$8:$E$43,'Reliquidación CD RGL'!$B24,'Entrada CDRGL'!F$8:F$43)</f>
        <v>1635308</v>
      </c>
      <c r="D24" s="43">
        <f>SUMIF('Entrada CDRGL'!$E$8:$E$43,'Reliquidación CD RGL'!$B24,'Entrada CDRGL'!G$8:G$43)</f>
        <v>16202203</v>
      </c>
      <c r="E24" s="43">
        <f>SUMIF('Entrada CDRGL'!$E$8:$E$43,'Reliquidación CD RGL'!$B24,'Entrada CDRGL'!H$8:H$43)</f>
        <v>14</v>
      </c>
      <c r="F24" s="43">
        <f>SUMIF('Entrada CDRGL'!$E$8:$E$43,'Reliquidación CD RGL'!$B24,'Entrada CDRGL'!I$8:I$43)</f>
        <v>58658</v>
      </c>
      <c r="G24" s="43">
        <f>SUMIF('Entrada CDRGL'!$E$8:$E$43,'Reliquidación CD RGL'!$B24,'Entrada CDRGL'!J$8:J$43)</f>
        <v>27807108.884946939</v>
      </c>
      <c r="H24" s="43">
        <v>0</v>
      </c>
      <c r="I24" s="43">
        <f t="shared" si="0"/>
        <v>0</v>
      </c>
      <c r="J24" s="43">
        <v>0</v>
      </c>
      <c r="K24" s="43">
        <f t="shared" si="2"/>
        <v>0</v>
      </c>
      <c r="L24" s="43">
        <f t="shared" si="3"/>
        <v>27807108.884946939</v>
      </c>
      <c r="M24" s="43">
        <f t="shared" si="4"/>
        <v>0</v>
      </c>
      <c r="N24" s="43">
        <f t="shared" si="6"/>
        <v>27807108.884946939</v>
      </c>
      <c r="O24" s="43">
        <f t="shared" si="1"/>
        <v>-21995975.001095191</v>
      </c>
      <c r="P24" s="43">
        <f t="shared" si="5"/>
        <v>5811133.883851748</v>
      </c>
      <c r="Q24" s="86"/>
    </row>
    <row r="25" spans="2:17" x14ac:dyDescent="0.3">
      <c r="B25" s="42" t="s">
        <v>32</v>
      </c>
      <c r="C25" s="43">
        <f>SUMIF('Entrada CDRGL'!$E$8:$E$43,'Reliquidación CD RGL'!$B25,'Entrada CDRGL'!F$8:F$43)</f>
        <v>505561</v>
      </c>
      <c r="D25" s="43">
        <f>SUMIF('Entrada CDRGL'!$E$8:$E$43,'Reliquidación CD RGL'!$B25,'Entrada CDRGL'!G$8:G$43)</f>
        <v>2537503</v>
      </c>
      <c r="E25" s="43">
        <f>SUMIF('Entrada CDRGL'!$E$8:$E$43,'Reliquidación CD RGL'!$B25,'Entrada CDRGL'!H$8:H$43)</f>
        <v>104171</v>
      </c>
      <c r="F25" s="43">
        <f>SUMIF('Entrada CDRGL'!$E$8:$E$43,'Reliquidación CD RGL'!$B25,'Entrada CDRGL'!I$8:I$43)</f>
        <v>25305</v>
      </c>
      <c r="G25" s="43">
        <f>SUMIF('Entrada CDRGL'!$E$8:$E$43,'Reliquidación CD RGL'!$B25,'Entrada CDRGL'!J$8:J$43)</f>
        <v>-4940044.1886659572</v>
      </c>
      <c r="H25" s="43">
        <v>0</v>
      </c>
      <c r="I25" s="43">
        <f t="shared" si="0"/>
        <v>0</v>
      </c>
      <c r="J25" s="43">
        <v>0</v>
      </c>
      <c r="K25" s="43">
        <f t="shared" si="2"/>
        <v>0</v>
      </c>
      <c r="L25" s="43">
        <f t="shared" si="3"/>
        <v>-4940044.1886659572</v>
      </c>
      <c r="M25" s="43">
        <f t="shared" si="4"/>
        <v>4940044.1886659572</v>
      </c>
      <c r="N25" s="43">
        <f t="shared" si="6"/>
        <v>0</v>
      </c>
      <c r="O25" s="43">
        <f t="shared" si="1"/>
        <v>4940044.1886659572</v>
      </c>
      <c r="P25" s="43">
        <f t="shared" si="5"/>
        <v>0</v>
      </c>
      <c r="Q25" s="86"/>
    </row>
    <row r="26" spans="2:17" x14ac:dyDescent="0.3">
      <c r="B26" s="42" t="s">
        <v>33</v>
      </c>
      <c r="C26" s="43">
        <f>SUMIF('Entrada CDRGL'!$E$8:$E$43,'Reliquidación CD RGL'!$B26,'Entrada CDRGL'!F$8:F$43)</f>
        <v>958365</v>
      </c>
      <c r="D26" s="43">
        <f>SUMIF('Entrada CDRGL'!$E$8:$E$43,'Reliquidación CD RGL'!$B26,'Entrada CDRGL'!G$8:G$43)</f>
        <v>2268594</v>
      </c>
      <c r="E26" s="43">
        <f>SUMIF('Entrada CDRGL'!$E$8:$E$43,'Reliquidación CD RGL'!$B26,'Entrada CDRGL'!H$8:H$43)</f>
        <v>45804</v>
      </c>
      <c r="F26" s="43">
        <f>SUMIF('Entrada CDRGL'!$E$8:$E$43,'Reliquidación CD RGL'!$B26,'Entrada CDRGL'!I$8:I$43)</f>
        <v>5952</v>
      </c>
      <c r="G26" s="43">
        <f>SUMIF('Entrada CDRGL'!$E$8:$E$43,'Reliquidación CD RGL'!$B26,'Entrada CDRGL'!J$8:J$43)</f>
        <v>3740660.8043782422</v>
      </c>
      <c r="H26" s="43">
        <v>0</v>
      </c>
      <c r="I26" s="43">
        <f t="shared" si="0"/>
        <v>0</v>
      </c>
      <c r="J26" s="43">
        <v>0</v>
      </c>
      <c r="K26" s="43">
        <f t="shared" si="2"/>
        <v>0</v>
      </c>
      <c r="L26" s="43">
        <f t="shared" si="3"/>
        <v>3740660.8043782422</v>
      </c>
      <c r="M26" s="43">
        <f t="shared" si="4"/>
        <v>0</v>
      </c>
      <c r="N26" s="43">
        <f t="shared" si="6"/>
        <v>3740660.8043782422</v>
      </c>
      <c r="O26" s="43">
        <f t="shared" si="1"/>
        <v>-2958936.9351957873</v>
      </c>
      <c r="P26" s="43">
        <f t="shared" si="5"/>
        <v>781723.86918245489</v>
      </c>
      <c r="Q26" s="86"/>
    </row>
    <row r="27" spans="2:17" x14ac:dyDescent="0.3">
      <c r="B27" s="42" t="s">
        <v>34</v>
      </c>
      <c r="C27" s="43">
        <f>SUMIF('Entrada CDRGL'!$E$8:$E$43,'Reliquidación CD RGL'!$B27,'Entrada CDRGL'!F$8:F$43)</f>
        <v>1141514</v>
      </c>
      <c r="D27" s="43">
        <f>SUMIF('Entrada CDRGL'!$E$8:$E$43,'Reliquidación CD RGL'!$B27,'Entrada CDRGL'!G$8:G$43)</f>
        <v>7272511</v>
      </c>
      <c r="E27" s="43">
        <f>SUMIF('Entrada CDRGL'!$E$8:$E$43,'Reliquidación CD RGL'!$B27,'Entrada CDRGL'!H$8:H$43)</f>
        <v>306813</v>
      </c>
      <c r="F27" s="43">
        <f>SUMIF('Entrada CDRGL'!$E$8:$E$43,'Reliquidación CD RGL'!$B27,'Entrada CDRGL'!I$8:I$43)</f>
        <v>56871</v>
      </c>
      <c r="G27" s="43">
        <f>SUMIF('Entrada CDRGL'!$E$8:$E$43,'Reliquidación CD RGL'!$B27,'Entrada CDRGL'!J$8:J$43)</f>
        <v>-176219.61475189889</v>
      </c>
      <c r="H27" s="43">
        <v>0</v>
      </c>
      <c r="I27" s="43">
        <f t="shared" si="0"/>
        <v>0</v>
      </c>
      <c r="J27" s="43">
        <v>0</v>
      </c>
      <c r="K27" s="43">
        <f t="shared" si="2"/>
        <v>0</v>
      </c>
      <c r="L27" s="43">
        <f t="shared" si="3"/>
        <v>-176219.61475189889</v>
      </c>
      <c r="M27" s="43">
        <f t="shared" si="4"/>
        <v>176219.61475189889</v>
      </c>
      <c r="N27" s="43">
        <f t="shared" si="6"/>
        <v>0</v>
      </c>
      <c r="O27" s="43">
        <f t="shared" si="1"/>
        <v>176219.61475189889</v>
      </c>
      <c r="P27" s="43">
        <f t="shared" si="5"/>
        <v>0</v>
      </c>
      <c r="Q27" s="86"/>
    </row>
    <row r="28" spans="2:17" x14ac:dyDescent="0.3">
      <c r="B28" s="42" t="s">
        <v>35</v>
      </c>
      <c r="C28" s="43">
        <f>SUMIF('Entrada CDRGL'!$E$8:$E$43,'Reliquidación CD RGL'!$B28,'Entrada CDRGL'!F$8:F$43)</f>
        <v>19411375.32</v>
      </c>
      <c r="D28" s="43">
        <f>SUMIF('Entrada CDRGL'!$E$8:$E$43,'Reliquidación CD RGL'!$B28,'Entrada CDRGL'!G$8:G$43)</f>
        <v>66990517.640000001</v>
      </c>
      <c r="E28" s="43">
        <f>SUMIF('Entrada CDRGL'!$E$8:$E$43,'Reliquidación CD RGL'!$B28,'Entrada CDRGL'!H$8:H$43)</f>
        <v>255093.88500000001</v>
      </c>
      <c r="F28" s="43">
        <f>SUMIF('Entrada CDRGL'!$E$8:$E$43,'Reliquidación CD RGL'!$B28,'Entrada CDRGL'!I$8:I$43)</f>
        <v>88673.3</v>
      </c>
      <c r="G28" s="43">
        <f>SUMIF('Entrada CDRGL'!$E$8:$E$43,'Reliquidación CD RGL'!$B28,'Entrada CDRGL'!J$8:J$43)</f>
        <v>-75781224.802939638</v>
      </c>
      <c r="H28" s="43">
        <v>0</v>
      </c>
      <c r="I28" s="43">
        <f t="shared" si="0"/>
        <v>0</v>
      </c>
      <c r="J28" s="43">
        <v>0</v>
      </c>
      <c r="K28" s="43">
        <f t="shared" si="2"/>
        <v>0</v>
      </c>
      <c r="L28" s="43">
        <f t="shared" si="3"/>
        <v>-75781224.802939638</v>
      </c>
      <c r="M28" s="43">
        <f t="shared" si="4"/>
        <v>75781224.802939638</v>
      </c>
      <c r="N28" s="43">
        <f t="shared" si="6"/>
        <v>0</v>
      </c>
      <c r="O28" s="43">
        <f t="shared" si="1"/>
        <v>75781224.802939638</v>
      </c>
      <c r="P28" s="43">
        <f t="shared" si="5"/>
        <v>0</v>
      </c>
      <c r="Q28" s="86"/>
    </row>
    <row r="29" spans="2:17" x14ac:dyDescent="0.3">
      <c r="B29" s="42" t="s">
        <v>36</v>
      </c>
      <c r="C29" s="43">
        <f>SUMIF('Entrada CDRGL'!$E$8:$E$43,'Reliquidación CD RGL'!$B29,'Entrada CDRGL'!F$8:F$43)</f>
        <v>7103311.8200000003</v>
      </c>
      <c r="D29" s="43">
        <f>SUMIF('Entrada CDRGL'!$E$8:$E$43,'Reliquidación CD RGL'!$B29,'Entrada CDRGL'!G$8:G$43)</f>
        <v>6977602.1600000001</v>
      </c>
      <c r="E29" s="43">
        <f>SUMIF('Entrada CDRGL'!$E$8:$E$43,'Reliquidación CD RGL'!$B29,'Entrada CDRGL'!H$8:H$43)</f>
        <v>158069.54</v>
      </c>
      <c r="F29" s="43">
        <f>SUMIF('Entrada CDRGL'!$E$8:$E$43,'Reliquidación CD RGL'!$B29,'Entrada CDRGL'!I$8:I$43)</f>
        <v>3495</v>
      </c>
      <c r="G29" s="43">
        <f>SUMIF('Entrada CDRGL'!$E$8:$E$43,'Reliquidación CD RGL'!$B29,'Entrada CDRGL'!J$8:J$43)</f>
        <v>-18833508.828175951</v>
      </c>
      <c r="H29" s="43">
        <v>0</v>
      </c>
      <c r="I29" s="43">
        <f t="shared" si="0"/>
        <v>0</v>
      </c>
      <c r="J29" s="43">
        <v>0</v>
      </c>
      <c r="K29" s="43">
        <f t="shared" si="2"/>
        <v>0</v>
      </c>
      <c r="L29" s="43">
        <f t="shared" si="3"/>
        <v>-18833508.828175951</v>
      </c>
      <c r="M29" s="43">
        <f t="shared" si="4"/>
        <v>18833508.828175951</v>
      </c>
      <c r="N29" s="43">
        <f t="shared" si="6"/>
        <v>0</v>
      </c>
      <c r="O29" s="43">
        <f t="shared" si="1"/>
        <v>18833508.828175951</v>
      </c>
      <c r="P29" s="43">
        <f t="shared" si="5"/>
        <v>0</v>
      </c>
      <c r="Q29" s="86"/>
    </row>
    <row r="30" spans="2:17" x14ac:dyDescent="0.3">
      <c r="B30" s="42" t="s">
        <v>37</v>
      </c>
      <c r="C30" s="43">
        <f>SUMIF('Entrada CDRGL'!$E$8:$E$43,'Reliquidación CD RGL'!$B30,'Entrada CDRGL'!F$8:F$43)</f>
        <v>41853118.509999998</v>
      </c>
      <c r="D30" s="43">
        <f>SUMIF('Entrada CDRGL'!$E$8:$E$43,'Reliquidación CD RGL'!$B30,'Entrada CDRGL'!G$8:G$43)</f>
        <v>119938812.62</v>
      </c>
      <c r="E30" s="43">
        <f>SUMIF('Entrada CDRGL'!$E$8:$E$43,'Reliquidación CD RGL'!$B30,'Entrada CDRGL'!H$8:H$43)</f>
        <v>131234.23000000001</v>
      </c>
      <c r="F30" s="43">
        <f>SUMIF('Entrada CDRGL'!$E$8:$E$43,'Reliquidación CD RGL'!$B30,'Entrada CDRGL'!I$8:I$43)</f>
        <v>68431.199999999997</v>
      </c>
      <c r="G30" s="43">
        <f>SUMIF('Entrada CDRGL'!$E$8:$E$43,'Reliquidación CD RGL'!$B30,'Entrada CDRGL'!J$8:J$43)</f>
        <v>-197015950.43604109</v>
      </c>
      <c r="H30" s="43">
        <v>0</v>
      </c>
      <c r="I30" s="43">
        <f t="shared" si="0"/>
        <v>0</v>
      </c>
      <c r="J30" s="43">
        <v>0</v>
      </c>
      <c r="K30" s="43">
        <f t="shared" si="2"/>
        <v>0</v>
      </c>
      <c r="L30" s="43">
        <f t="shared" si="3"/>
        <v>-197015950.43604109</v>
      </c>
      <c r="M30" s="43">
        <f t="shared" si="4"/>
        <v>197015950.43604109</v>
      </c>
      <c r="N30" s="43">
        <f t="shared" si="6"/>
        <v>0</v>
      </c>
      <c r="O30" s="43">
        <f t="shared" si="1"/>
        <v>197015950.43604106</v>
      </c>
      <c r="P30" s="43">
        <f t="shared" si="5"/>
        <v>0</v>
      </c>
      <c r="Q30" s="86"/>
    </row>
    <row r="31" spans="2:17" x14ac:dyDescent="0.3">
      <c r="B31" s="42" t="s">
        <v>38</v>
      </c>
      <c r="C31" s="43">
        <f>SUMIF('Entrada CDRGL'!$E$8:$E$43,'Reliquidación CD RGL'!$B31,'Entrada CDRGL'!F$8:F$43)</f>
        <v>1561983</v>
      </c>
      <c r="D31" s="43">
        <f>SUMIF('Entrada CDRGL'!$E$8:$E$43,'Reliquidación CD RGL'!$B31,'Entrada CDRGL'!G$8:G$43)</f>
        <v>3175679</v>
      </c>
      <c r="E31" s="43">
        <f>SUMIF('Entrada CDRGL'!$E$8:$E$43,'Reliquidación CD RGL'!$B31,'Entrada CDRGL'!H$8:H$43)</f>
        <v>38836</v>
      </c>
      <c r="F31" s="43">
        <f>SUMIF('Entrada CDRGL'!$E$8:$E$43,'Reliquidación CD RGL'!$B31,'Entrada CDRGL'!I$8:I$43)</f>
        <v>7521</v>
      </c>
      <c r="G31" s="43">
        <f>SUMIF('Entrada CDRGL'!$E$8:$E$43,'Reliquidación CD RGL'!$B31,'Entrada CDRGL'!J$8:J$43)</f>
        <v>4438243.3097799588</v>
      </c>
      <c r="H31" s="43">
        <v>0</v>
      </c>
      <c r="I31" s="43">
        <f t="shared" si="0"/>
        <v>0</v>
      </c>
      <c r="J31" s="43">
        <v>0</v>
      </c>
      <c r="K31" s="43">
        <f t="shared" si="2"/>
        <v>0</v>
      </c>
      <c r="L31" s="43">
        <f t="shared" si="3"/>
        <v>4438243.3097799588</v>
      </c>
      <c r="M31" s="43">
        <f t="shared" si="4"/>
        <v>0</v>
      </c>
      <c r="N31" s="43">
        <f t="shared" si="6"/>
        <v>4438243.3097799588</v>
      </c>
      <c r="O31" s="43">
        <f t="shared" si="1"/>
        <v>-3510738.5415225714</v>
      </c>
      <c r="P31" s="43">
        <f t="shared" si="5"/>
        <v>927504.76825738745</v>
      </c>
      <c r="Q31" s="86"/>
    </row>
    <row r="32" spans="2:17" x14ac:dyDescent="0.3">
      <c r="B32" s="42" t="s">
        <v>39</v>
      </c>
      <c r="C32" s="43">
        <f>SUMIF('Entrada CDRGL'!$E$8:$E$43,'Reliquidación CD RGL'!$B32,'Entrada CDRGL'!F$8:F$43)</f>
        <v>32588324.995099999</v>
      </c>
      <c r="D32" s="43">
        <f>SUMIF('Entrada CDRGL'!$E$8:$E$43,'Reliquidación CD RGL'!$B32,'Entrada CDRGL'!G$8:G$43)</f>
        <v>148014930.39161</v>
      </c>
      <c r="E32" s="43">
        <f>SUMIF('Entrada CDRGL'!$E$8:$E$43,'Reliquidación CD RGL'!$B32,'Entrada CDRGL'!H$8:H$43)</f>
        <v>2069235.4</v>
      </c>
      <c r="F32" s="43">
        <f>SUMIF('Entrada CDRGL'!$E$8:$E$43,'Reliquidación CD RGL'!$B32,'Entrada CDRGL'!I$8:I$43)</f>
        <v>455407.5</v>
      </c>
      <c r="G32" s="43">
        <f>SUMIF('Entrada CDRGL'!$E$8:$E$43,'Reliquidación CD RGL'!$B32,'Entrada CDRGL'!J$8:J$43)</f>
        <v>-256663437.61846209</v>
      </c>
      <c r="H32" s="43">
        <v>0</v>
      </c>
      <c r="I32" s="43">
        <f t="shared" si="0"/>
        <v>0</v>
      </c>
      <c r="J32" s="43">
        <v>0</v>
      </c>
      <c r="K32" s="43">
        <f t="shared" si="2"/>
        <v>0</v>
      </c>
      <c r="L32" s="43">
        <f t="shared" si="3"/>
        <v>-256663437.61846209</v>
      </c>
      <c r="M32" s="43">
        <f t="shared" si="4"/>
        <v>256663437.61846209</v>
      </c>
      <c r="N32" s="43">
        <f t="shared" si="6"/>
        <v>0</v>
      </c>
      <c r="O32" s="43">
        <f t="shared" si="1"/>
        <v>256663437.61846206</v>
      </c>
      <c r="P32" s="43">
        <f t="shared" si="5"/>
        <v>0</v>
      </c>
      <c r="Q32" s="86"/>
    </row>
    <row r="33" spans="2:17" x14ac:dyDescent="0.3">
      <c r="B33" s="42" t="s">
        <v>40</v>
      </c>
      <c r="C33" s="43">
        <f>SUMIF('Entrada CDRGL'!$E$8:$E$43,'Reliquidación CD RGL'!$B33,'Entrada CDRGL'!F$8:F$43)</f>
        <v>965055.20000000007</v>
      </c>
      <c r="D33" s="43">
        <f>SUMIF('Entrada CDRGL'!$E$8:$E$43,'Reliquidación CD RGL'!$B33,'Entrada CDRGL'!G$8:G$43)</f>
        <v>1955688.6</v>
      </c>
      <c r="E33" s="43">
        <f>SUMIF('Entrada CDRGL'!$E$8:$E$43,'Reliquidación CD RGL'!$B33,'Entrada CDRGL'!H$8:H$43)</f>
        <v>31979</v>
      </c>
      <c r="F33" s="43">
        <f>SUMIF('Entrada CDRGL'!$E$8:$E$43,'Reliquidación CD RGL'!$B33,'Entrada CDRGL'!I$8:I$43)</f>
        <v>78519.100000000006</v>
      </c>
      <c r="G33" s="43">
        <f>SUMIF('Entrada CDRGL'!$E$8:$E$43,'Reliquidación CD RGL'!$B33,'Entrada CDRGL'!J$8:J$43)</f>
        <v>4737254.7403221512</v>
      </c>
      <c r="H33" s="43">
        <v>0</v>
      </c>
      <c r="I33" s="43">
        <f t="shared" si="0"/>
        <v>0</v>
      </c>
      <c r="J33" s="43">
        <v>0</v>
      </c>
      <c r="K33" s="43">
        <f t="shared" si="2"/>
        <v>0</v>
      </c>
      <c r="L33" s="43">
        <f t="shared" si="3"/>
        <v>4737254.7403221512</v>
      </c>
      <c r="M33" s="43">
        <f t="shared" si="4"/>
        <v>0</v>
      </c>
      <c r="N33" s="43">
        <f t="shared" si="6"/>
        <v>4737254.7403221512</v>
      </c>
      <c r="O33" s="43">
        <f t="shared" si="1"/>
        <v>-3747262.5174044431</v>
      </c>
      <c r="P33" s="43">
        <f t="shared" si="5"/>
        <v>989992.2229177081</v>
      </c>
      <c r="Q33" s="86"/>
    </row>
    <row r="34" spans="2:17" x14ac:dyDescent="0.3">
      <c r="B34" s="42" t="s">
        <v>41</v>
      </c>
      <c r="C34" s="43">
        <f>SUMIF('Entrada CDRGL'!$E$8:$E$43,'Reliquidación CD RGL'!$B34,'Entrada CDRGL'!F$8:F$43)</f>
        <v>1334873.7</v>
      </c>
      <c r="D34" s="43">
        <f>SUMIF('Entrada CDRGL'!$E$8:$E$43,'Reliquidación CD RGL'!$B34,'Entrada CDRGL'!G$8:G$43)</f>
        <v>10186127.682399999</v>
      </c>
      <c r="E34" s="43">
        <f>SUMIF('Entrada CDRGL'!$E$8:$E$43,'Reliquidación CD RGL'!$B34,'Entrada CDRGL'!H$8:H$43)</f>
        <v>6799</v>
      </c>
      <c r="F34" s="43">
        <f>SUMIF('Entrada CDRGL'!$E$8:$E$43,'Reliquidación CD RGL'!$B34,'Entrada CDRGL'!I$8:I$43)</f>
        <v>28421</v>
      </c>
      <c r="G34" s="43">
        <f>SUMIF('Entrada CDRGL'!$E$8:$E$43,'Reliquidación CD RGL'!$B34,'Entrada CDRGL'!J$8:J$43)</f>
        <v>19120460.537847381</v>
      </c>
      <c r="H34" s="43">
        <v>0</v>
      </c>
      <c r="I34" s="43">
        <f t="shared" si="0"/>
        <v>0</v>
      </c>
      <c r="J34" s="43">
        <v>0</v>
      </c>
      <c r="K34" s="43">
        <f t="shared" si="2"/>
        <v>0</v>
      </c>
      <c r="L34" s="43">
        <f t="shared" si="3"/>
        <v>19120460.537847381</v>
      </c>
      <c r="M34" s="43">
        <f t="shared" si="4"/>
        <v>0</v>
      </c>
      <c r="N34" s="43">
        <f t="shared" si="6"/>
        <v>19120460.537847381</v>
      </c>
      <c r="O34" s="43">
        <f t="shared" si="1"/>
        <v>-15124663.759186795</v>
      </c>
      <c r="P34" s="43">
        <f t="shared" si="5"/>
        <v>3995796.7786605861</v>
      </c>
      <c r="Q34" s="86"/>
    </row>
    <row r="35" spans="2:17" x14ac:dyDescent="0.3">
      <c r="B35" s="42" t="s">
        <v>42</v>
      </c>
      <c r="C35" s="43">
        <f>SUMIF('Entrada CDRGL'!$E$8:$E$43,'Reliquidación CD RGL'!$B35,'Entrada CDRGL'!F$8:F$43)</f>
        <v>1944676.7</v>
      </c>
      <c r="D35" s="43">
        <f>SUMIF('Entrada CDRGL'!$E$8:$E$43,'Reliquidación CD RGL'!$B35,'Entrada CDRGL'!G$8:G$43)</f>
        <v>6762805.0692999996</v>
      </c>
      <c r="E35" s="43">
        <f>SUMIF('Entrada CDRGL'!$E$8:$E$43,'Reliquidación CD RGL'!$B35,'Entrada CDRGL'!H$8:H$43)</f>
        <v>321051.90000000002</v>
      </c>
      <c r="F35" s="43">
        <f>SUMIF('Entrada CDRGL'!$E$8:$E$43,'Reliquidación CD RGL'!$B35,'Entrada CDRGL'!I$8:I$43)</f>
        <v>17759.500100000001</v>
      </c>
      <c r="G35" s="43">
        <f>SUMIF('Entrada CDRGL'!$E$8:$E$43,'Reliquidación CD RGL'!$B35,'Entrada CDRGL'!J$8:J$43)</f>
        <v>-50442994.876411617</v>
      </c>
      <c r="H35" s="43">
        <v>0</v>
      </c>
      <c r="I35" s="43">
        <f t="shared" si="0"/>
        <v>0</v>
      </c>
      <c r="J35" s="43">
        <v>0</v>
      </c>
      <c r="K35" s="43">
        <f t="shared" si="2"/>
        <v>0</v>
      </c>
      <c r="L35" s="43">
        <f t="shared" si="3"/>
        <v>-50442994.876411617</v>
      </c>
      <c r="M35" s="43">
        <f t="shared" si="4"/>
        <v>50442994.876411617</v>
      </c>
      <c r="N35" s="43">
        <f t="shared" si="6"/>
        <v>0</v>
      </c>
      <c r="O35" s="43">
        <f t="shared" si="1"/>
        <v>50442994.876411617</v>
      </c>
      <c r="P35" s="43">
        <f t="shared" si="5"/>
        <v>0</v>
      </c>
      <c r="Q35" s="86"/>
    </row>
    <row r="36" spans="2:17" x14ac:dyDescent="0.3">
      <c r="B36" s="42" t="s">
        <v>43</v>
      </c>
      <c r="C36" s="43">
        <f>SUMIF('Entrada CDRGL'!$E$8:$E$43,'Reliquidación CD RGL'!$B36,'Entrada CDRGL'!F$8:F$43)</f>
        <v>1579257.0001000001</v>
      </c>
      <c r="D36" s="43">
        <f>SUMIF('Entrada CDRGL'!$E$8:$E$43,'Reliquidación CD RGL'!$B36,'Entrada CDRGL'!G$8:G$43)</f>
        <v>4465484.6717999997</v>
      </c>
      <c r="E36" s="43">
        <f>SUMIF('Entrada CDRGL'!$E$8:$E$43,'Reliquidación CD RGL'!$B36,'Entrada CDRGL'!H$8:H$43)</f>
        <v>452815</v>
      </c>
      <c r="F36" s="43">
        <f>SUMIF('Entrada CDRGL'!$E$8:$E$43,'Reliquidación CD RGL'!$B36,'Entrada CDRGL'!I$8:I$43)</f>
        <v>41824</v>
      </c>
      <c r="G36" s="43">
        <f>SUMIF('Entrada CDRGL'!$E$8:$E$43,'Reliquidación CD RGL'!$B36,'Entrada CDRGL'!J$8:J$43)</f>
        <v>8206941.6102949353</v>
      </c>
      <c r="H36" s="43">
        <v>0</v>
      </c>
      <c r="I36" s="43">
        <f t="shared" si="0"/>
        <v>0</v>
      </c>
      <c r="J36" s="43">
        <v>0</v>
      </c>
      <c r="K36" s="43">
        <f t="shared" si="2"/>
        <v>0</v>
      </c>
      <c r="L36" s="43">
        <f t="shared" si="3"/>
        <v>8206941.6102949353</v>
      </c>
      <c r="M36" s="43">
        <f t="shared" si="4"/>
        <v>0</v>
      </c>
      <c r="N36" s="43">
        <f t="shared" si="6"/>
        <v>8206941.6102949353</v>
      </c>
      <c r="O36" s="43">
        <f t="shared" si="1"/>
        <v>-6491853.6926079923</v>
      </c>
      <c r="P36" s="43">
        <f t="shared" si="5"/>
        <v>1715087.917686943</v>
      </c>
      <c r="Q36" s="86"/>
    </row>
    <row r="37" spans="2:17" x14ac:dyDescent="0.3">
      <c r="B37" s="42" t="s">
        <v>45</v>
      </c>
      <c r="C37" s="43">
        <f>SUMIF('Entrada CDRGL'!$E$8:$E$43,'Reliquidación CD RGL'!$B37,'Entrada CDRGL'!F$8:F$43)</f>
        <v>476010</v>
      </c>
      <c r="D37" s="43">
        <f>SUMIF('Entrada CDRGL'!$E$8:$E$43,'Reliquidación CD RGL'!$B37,'Entrada CDRGL'!G$8:G$43)</f>
        <v>960144</v>
      </c>
      <c r="E37" s="43">
        <f>SUMIF('Entrada CDRGL'!$E$8:$E$43,'Reliquidación CD RGL'!$B37,'Entrada CDRGL'!H$8:H$43)</f>
        <v>29248</v>
      </c>
      <c r="F37" s="43">
        <f>SUMIF('Entrada CDRGL'!$E$8:$E$43,'Reliquidación CD RGL'!$B37,'Entrada CDRGL'!I$8:I$43)</f>
        <v>7810.9999999999991</v>
      </c>
      <c r="G37" s="43">
        <f>SUMIF('Entrada CDRGL'!$E$8:$E$43,'Reliquidación CD RGL'!$B37,'Entrada CDRGL'!J$8:J$43)</f>
        <v>-13024126.099391291</v>
      </c>
      <c r="H37" s="43">
        <v>0</v>
      </c>
      <c r="I37" s="43">
        <f t="shared" si="0"/>
        <v>0</v>
      </c>
      <c r="J37" s="43">
        <v>0</v>
      </c>
      <c r="K37" s="43">
        <f t="shared" si="2"/>
        <v>0</v>
      </c>
      <c r="L37" s="43">
        <f t="shared" si="3"/>
        <v>-13024126.099391291</v>
      </c>
      <c r="M37" s="43">
        <f t="shared" si="4"/>
        <v>13024126.099391291</v>
      </c>
      <c r="N37" s="43">
        <f t="shared" si="6"/>
        <v>0</v>
      </c>
      <c r="O37" s="43">
        <f t="shared" si="1"/>
        <v>13024126.099391291</v>
      </c>
      <c r="P37" s="43">
        <f t="shared" si="5"/>
        <v>0</v>
      </c>
      <c r="Q37" s="86"/>
    </row>
    <row r="38" spans="2:17" x14ac:dyDescent="0.3">
      <c r="B38" s="42" t="s">
        <v>46</v>
      </c>
      <c r="C38" s="43">
        <f>SUMIF('Entrada CDRGL'!$E$8:$E$43,'Reliquidación CD RGL'!$B38,'Entrada CDRGL'!F$8:F$43)</f>
        <v>4606619.6179999998</v>
      </c>
      <c r="D38" s="43">
        <f>SUMIF('Entrada CDRGL'!$E$8:$E$43,'Reliquidación CD RGL'!$B38,'Entrada CDRGL'!G$8:G$43)</f>
        <v>17085954.833999999</v>
      </c>
      <c r="E38" s="43">
        <f>SUMIF('Entrada CDRGL'!$E$8:$E$43,'Reliquidación CD RGL'!$B38,'Entrada CDRGL'!H$8:H$43)</f>
        <v>20098.5</v>
      </c>
      <c r="F38" s="43">
        <f>SUMIF('Entrada CDRGL'!$E$8:$E$43,'Reliquidación CD RGL'!$B38,'Entrada CDRGL'!I$8:I$43)</f>
        <v>26831.017</v>
      </c>
      <c r="G38" s="43">
        <f>SUMIF('Entrada CDRGL'!$E$8:$E$43,'Reliquidación CD RGL'!$B38,'Entrada CDRGL'!J$8:J$43)</f>
        <v>35802514.619088933</v>
      </c>
      <c r="H38" s="43">
        <v>0</v>
      </c>
      <c r="I38" s="43">
        <f t="shared" si="0"/>
        <v>0</v>
      </c>
      <c r="J38" s="43">
        <v>0</v>
      </c>
      <c r="K38" s="43">
        <f t="shared" si="2"/>
        <v>0</v>
      </c>
      <c r="L38" s="43">
        <f t="shared" si="3"/>
        <v>35802514.619088933</v>
      </c>
      <c r="M38" s="43">
        <f>IF(L38&lt;0,-L38,0)</f>
        <v>0</v>
      </c>
      <c r="N38" s="43">
        <f>IF(L38&gt;0,L38,0)</f>
        <v>35802514.619088933</v>
      </c>
      <c r="O38" s="43">
        <f t="shared" si="1"/>
        <v>-28320499.617424648</v>
      </c>
      <c r="P38" s="43">
        <f t="shared" si="5"/>
        <v>7482015.0016642846</v>
      </c>
      <c r="Q38" s="86"/>
    </row>
    <row r="39" spans="2:17" x14ac:dyDescent="0.3">
      <c r="B39" s="42" t="s">
        <v>47</v>
      </c>
      <c r="C39" s="43">
        <f>SUMIF('Entrada CDRGL'!$E$8:$E$43,'Reliquidación CD RGL'!$B39,'Entrada CDRGL'!F$8:F$43)</f>
        <v>6151912.9299999997</v>
      </c>
      <c r="D39" s="43">
        <f>SUMIF('Entrada CDRGL'!$E$8:$E$43,'Reliquidación CD RGL'!$B39,'Entrada CDRGL'!G$8:G$43)</f>
        <v>27401454.534000002</v>
      </c>
      <c r="E39" s="43">
        <f>SUMIF('Entrada CDRGL'!$E$8:$E$43,'Reliquidación CD RGL'!$B39,'Entrada CDRGL'!H$8:H$43)</f>
        <v>26322.780999999999</v>
      </c>
      <c r="F39" s="43">
        <f>SUMIF('Entrada CDRGL'!$E$8:$E$43,'Reliquidación CD RGL'!$B39,'Entrada CDRGL'!I$8:I$43)</f>
        <v>13555.007</v>
      </c>
      <c r="G39" s="43">
        <f>SUMIF('Entrada CDRGL'!$E$8:$E$43,'Reliquidación CD RGL'!$B39,'Entrada CDRGL'!J$8:J$43)</f>
        <v>-93998484.210583478</v>
      </c>
      <c r="H39" s="43">
        <v>0</v>
      </c>
      <c r="I39" s="43">
        <f t="shared" si="0"/>
        <v>0</v>
      </c>
      <c r="J39" s="43">
        <v>0</v>
      </c>
      <c r="K39" s="43">
        <f t="shared" si="2"/>
        <v>0</v>
      </c>
      <c r="L39" s="43">
        <f t="shared" si="3"/>
        <v>-93998484.210583478</v>
      </c>
      <c r="M39" s="43">
        <f t="shared" si="4"/>
        <v>93998484.210583478</v>
      </c>
      <c r="N39" s="43">
        <f t="shared" si="6"/>
        <v>0</v>
      </c>
      <c r="O39" s="43">
        <f t="shared" si="1"/>
        <v>93998484.210583478</v>
      </c>
      <c r="P39" s="43">
        <f t="shared" si="5"/>
        <v>0</v>
      </c>
      <c r="Q39" s="86"/>
    </row>
    <row r="40" spans="2:17" x14ac:dyDescent="0.3">
      <c r="B40" s="42" t="s">
        <v>48</v>
      </c>
      <c r="C40" s="43">
        <f>SUMIF('Entrada CDRGL'!$E$8:$E$43,'Reliquidación CD RGL'!$B40,'Entrada CDRGL'!F$8:F$43)</f>
        <v>15361392.927999999</v>
      </c>
      <c r="D40" s="43">
        <f>SUMIF('Entrada CDRGL'!$E$8:$E$43,'Reliquidación CD RGL'!$B40,'Entrada CDRGL'!G$8:G$43)</f>
        <v>53882088.978</v>
      </c>
      <c r="E40" s="43">
        <f>SUMIF('Entrada CDRGL'!$E$8:$E$43,'Reliquidación CD RGL'!$B40,'Entrada CDRGL'!H$8:H$43)</f>
        <v>52005.78</v>
      </c>
      <c r="F40" s="43">
        <f>SUMIF('Entrada CDRGL'!$E$8:$E$43,'Reliquidación CD RGL'!$B40,'Entrada CDRGL'!I$8:I$43)</f>
        <v>42190.247000000003</v>
      </c>
      <c r="G40" s="43">
        <f>SUMIF('Entrada CDRGL'!$E$8:$E$43,'Reliquidación CD RGL'!$B40,'Entrada CDRGL'!J$8:J$43)</f>
        <v>-209919442.5016731</v>
      </c>
      <c r="H40" s="43">
        <v>0</v>
      </c>
      <c r="I40" s="43">
        <f t="shared" si="0"/>
        <v>0</v>
      </c>
      <c r="J40" s="43">
        <v>0</v>
      </c>
      <c r="K40" s="43">
        <f t="shared" si="2"/>
        <v>0</v>
      </c>
      <c r="L40" s="43">
        <f t="shared" si="3"/>
        <v>-209919442.5016731</v>
      </c>
      <c r="M40" s="43">
        <f t="shared" si="4"/>
        <v>209919442.5016731</v>
      </c>
      <c r="N40" s="43">
        <f t="shared" si="6"/>
        <v>0</v>
      </c>
      <c r="O40" s="43">
        <f t="shared" si="1"/>
        <v>209919442.5016731</v>
      </c>
      <c r="P40" s="43">
        <f t="shared" si="5"/>
        <v>0</v>
      </c>
      <c r="Q40" s="86"/>
    </row>
    <row r="41" spans="2:17" x14ac:dyDescent="0.3">
      <c r="B41" s="42" t="s">
        <v>49</v>
      </c>
      <c r="C41" s="43">
        <f>SUMIF('Entrada CDRGL'!$E$8:$E$43,'Reliquidación CD RGL'!$B41,'Entrada CDRGL'!F$8:F$43)</f>
        <v>0</v>
      </c>
      <c r="D41" s="43">
        <f>SUMIF('Entrada CDRGL'!$E$8:$E$43,'Reliquidación CD RGL'!$B41,'Entrada CDRGL'!G$8:G$43)</f>
        <v>0</v>
      </c>
      <c r="E41" s="43">
        <f>SUMIF('Entrada CDRGL'!$E$8:$E$43,'Reliquidación CD RGL'!$B41,'Entrada CDRGL'!H$8:H$43)</f>
        <v>0</v>
      </c>
      <c r="F41" s="43">
        <f>SUMIF('Entrada CDRGL'!$E$8:$E$43,'Reliquidación CD RGL'!$B41,'Entrada CDRGL'!I$8:I$43)</f>
        <v>0</v>
      </c>
      <c r="G41" s="43">
        <f>SUMIF('Entrada CDRGL'!$E$8:$E$43,'Reliquidación CD RGL'!$B41,'Entrada CDRGL'!J$8:J$43)</f>
        <v>0</v>
      </c>
      <c r="H41" s="43">
        <v>0</v>
      </c>
      <c r="I41" s="43">
        <f t="shared" si="0"/>
        <v>0</v>
      </c>
      <c r="J41" s="43">
        <v>0</v>
      </c>
      <c r="K41" s="43">
        <f t="shared" si="2"/>
        <v>0</v>
      </c>
      <c r="L41" s="43">
        <f t="shared" si="3"/>
        <v>0</v>
      </c>
      <c r="M41" s="43">
        <f>IF(L41&lt;0,-L41,0)</f>
        <v>0</v>
      </c>
      <c r="N41" s="43">
        <f>IF(L41&gt;0,L41,0)</f>
        <v>0</v>
      </c>
      <c r="O41" s="43">
        <f t="shared" si="1"/>
        <v>0</v>
      </c>
      <c r="P41" s="43">
        <f>L41+O41</f>
        <v>0</v>
      </c>
      <c r="Q41" s="86"/>
    </row>
    <row r="42" spans="2:17" x14ac:dyDescent="0.3">
      <c r="B42" s="42" t="s">
        <v>50</v>
      </c>
      <c r="C42" s="43">
        <f>SUMIF('Entrada CDRGL'!$E$8:$E$43,'Reliquidación CD RGL'!$B42,'Entrada CDRGL'!F$8:F$43)</f>
        <v>0</v>
      </c>
      <c r="D42" s="43">
        <f>SUMIF('Entrada CDRGL'!$E$8:$E$43,'Reliquidación CD RGL'!$B42,'Entrada CDRGL'!G$8:G$43)</f>
        <v>14866</v>
      </c>
      <c r="E42" s="43">
        <f>SUMIF('Entrada CDRGL'!$E$8:$E$43,'Reliquidación CD RGL'!$B42,'Entrada CDRGL'!H$8:H$43)</f>
        <v>0</v>
      </c>
      <c r="F42" s="43">
        <f>SUMIF('Entrada CDRGL'!$E$8:$E$43,'Reliquidación CD RGL'!$B42,'Entrada CDRGL'!I$8:I$43)</f>
        <v>0</v>
      </c>
      <c r="G42" s="43">
        <f>SUMIF('Entrada CDRGL'!$E$8:$E$43,'Reliquidación CD RGL'!$B42,'Entrada CDRGL'!J$8:J$43)</f>
        <v>0</v>
      </c>
      <c r="H42" s="43">
        <v>0</v>
      </c>
      <c r="I42" s="43">
        <f t="shared" si="0"/>
        <v>0</v>
      </c>
      <c r="J42" s="43">
        <v>0</v>
      </c>
      <c r="K42" s="43">
        <f t="shared" si="2"/>
        <v>0</v>
      </c>
      <c r="L42" s="43">
        <f t="shared" si="3"/>
        <v>0</v>
      </c>
      <c r="M42" s="43">
        <f>IF(L42&lt;0,-L42,0)</f>
        <v>0</v>
      </c>
      <c r="N42" s="43">
        <f>IF(L42&gt;0,L42,0)</f>
        <v>0</v>
      </c>
      <c r="O42" s="43">
        <f t="shared" si="1"/>
        <v>0</v>
      </c>
      <c r="P42" s="43">
        <f>L42+O42</f>
        <v>0</v>
      </c>
      <c r="Q42" s="86"/>
    </row>
    <row r="43" spans="2:17" x14ac:dyDescent="0.3">
      <c r="B43" s="44" t="s">
        <v>51</v>
      </c>
      <c r="C43" s="45">
        <f>SUMIF('Entrada CDRGL'!$E$8:$E$43,'Reliquidación CD RGL'!$B43,'Entrada CDRGL'!F$8:F$43)</f>
        <v>32785.800000000003</v>
      </c>
      <c r="D43" s="45">
        <f>SUMIF('Entrada CDRGL'!$E$8:$E$43,'Reliquidación CD RGL'!$B43,'Entrada CDRGL'!G$8:G$43)</f>
        <v>63849.4</v>
      </c>
      <c r="E43" s="45">
        <f>SUMIF('Entrada CDRGL'!$E$8:$E$43,'Reliquidación CD RGL'!$B43,'Entrada CDRGL'!H$8:H$43)</f>
        <v>0</v>
      </c>
      <c r="F43" s="45">
        <f>SUMIF('Entrada CDRGL'!$E$8:$E$43,'Reliquidación CD RGL'!$B43,'Entrada CDRGL'!I$8:I$43)</f>
        <v>0</v>
      </c>
      <c r="G43" s="45">
        <f>SUMIF('Entrada CDRGL'!$E$8:$E$43,'Reliquidación CD RGL'!$B43,'Entrada CDRGL'!J$8:J$43)</f>
        <v>-2703423.2023375928</v>
      </c>
      <c r="H43" s="45">
        <v>0</v>
      </c>
      <c r="I43" s="45">
        <f t="shared" si="0"/>
        <v>0</v>
      </c>
      <c r="J43" s="45">
        <v>0</v>
      </c>
      <c r="K43" s="45">
        <f t="shared" si="2"/>
        <v>0</v>
      </c>
      <c r="L43" s="45">
        <f t="shared" si="3"/>
        <v>-2703423.2023375928</v>
      </c>
      <c r="M43" s="45">
        <f t="shared" si="4"/>
        <v>2703423.2023375928</v>
      </c>
      <c r="N43" s="45">
        <f t="shared" si="6"/>
        <v>0</v>
      </c>
      <c r="O43" s="45">
        <f>IF(OR($M$44=0,$N$44=0),0,((M43/$M$44-N43/$N$44)*$N$49))</f>
        <v>2703423.2023375928</v>
      </c>
      <c r="P43" s="45">
        <f t="shared" si="5"/>
        <v>0</v>
      </c>
      <c r="Q43" s="86"/>
    </row>
    <row r="44" spans="2:17" x14ac:dyDescent="0.3">
      <c r="B44" s="46" t="s">
        <v>66</v>
      </c>
      <c r="C44" s="16">
        <f t="shared" ref="C44:O44" si="7">SUM(C9:C43)</f>
        <v>437574210.52950925</v>
      </c>
      <c r="D44" s="16">
        <f t="shared" si="7"/>
        <v>1798945383.7520473</v>
      </c>
      <c r="E44" s="16">
        <f t="shared" si="7"/>
        <v>11167198.16</v>
      </c>
      <c r="F44" s="16">
        <f t="shared" si="7"/>
        <v>2968546.9511000002</v>
      </c>
      <c r="G44" s="16">
        <f t="shared" si="7"/>
        <v>325784896.54606032</v>
      </c>
      <c r="H44" s="16">
        <f t="shared" si="7"/>
        <v>0</v>
      </c>
      <c r="I44" s="16">
        <f>SUM(I9:I43)</f>
        <v>0</v>
      </c>
      <c r="J44" s="16">
        <f t="shared" ref="J44:K44" si="8">SUM(J9:J43)</f>
        <v>0</v>
      </c>
      <c r="K44" s="16">
        <f t="shared" si="8"/>
        <v>0</v>
      </c>
      <c r="L44" s="16">
        <f>SUM(L9:L43)</f>
        <v>325784896.54606032</v>
      </c>
      <c r="M44" s="16">
        <f t="shared" si="7"/>
        <v>1233142547.287478</v>
      </c>
      <c r="N44" s="16">
        <f t="shared" si="7"/>
        <v>1558927443.8335381</v>
      </c>
      <c r="O44" s="16">
        <f t="shared" si="7"/>
        <v>-1.1920928955078125E-7</v>
      </c>
      <c r="P44" s="16">
        <f>SUM(P9:P43)</f>
        <v>325784896.54606009</v>
      </c>
    </row>
    <row r="45" spans="2:17" x14ac:dyDescent="0.3">
      <c r="B45" s="50"/>
      <c r="C45"/>
      <c r="D45"/>
      <c r="E45"/>
      <c r="F45"/>
      <c r="G45"/>
      <c r="H45"/>
      <c r="I45"/>
      <c r="J45"/>
      <c r="K45"/>
      <c r="L45"/>
      <c r="M45" s="51"/>
      <c r="N45" s="51"/>
      <c r="O45"/>
    </row>
    <row r="46" spans="2:17" x14ac:dyDescent="0.3"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2:17" x14ac:dyDescent="0.3">
      <c r="B47"/>
      <c r="C47"/>
      <c r="H47" s="58"/>
      <c r="I47" s="17"/>
      <c r="J47" s="17"/>
      <c r="K47" s="17"/>
      <c r="L47" s="17"/>
      <c r="M47" s="7" t="s">
        <v>91</v>
      </c>
      <c r="N47" s="53">
        <f>N44</f>
        <v>1558927443.8335381</v>
      </c>
      <c r="O47"/>
    </row>
    <row r="48" spans="2:17" x14ac:dyDescent="0.3">
      <c r="B48"/>
      <c r="C48"/>
      <c r="H48" s="52"/>
      <c r="I48" s="17"/>
      <c r="J48" s="17"/>
      <c r="K48" s="17"/>
      <c r="L48" s="17"/>
      <c r="M48" s="7" t="s">
        <v>92</v>
      </c>
      <c r="N48" s="53">
        <f>M44</f>
        <v>1233142547.287478</v>
      </c>
      <c r="O48"/>
    </row>
    <row r="49" spans="2:16" x14ac:dyDescent="0.3">
      <c r="B49"/>
      <c r="C49"/>
      <c r="H49" s="52"/>
      <c r="I49"/>
      <c r="J49"/>
      <c r="K49"/>
      <c r="L49"/>
      <c r="M49" s="7" t="s">
        <v>69</v>
      </c>
      <c r="N49" s="53">
        <f>+IF(N48&lt;N47,N48,N47)</f>
        <v>1233142547.287478</v>
      </c>
      <c r="O49"/>
      <c r="P49" s="54"/>
    </row>
    <row r="50" spans="2:16" x14ac:dyDescent="0.3">
      <c r="M50" s="17"/>
      <c r="N50"/>
    </row>
    <row r="51" spans="2:16" x14ac:dyDescent="0.3">
      <c r="G51" s="54"/>
      <c r="H51" s="54"/>
    </row>
    <row r="52" spans="2:16" x14ac:dyDescent="0.3">
      <c r="H52" s="11"/>
    </row>
  </sheetData>
  <dataConsolidate/>
  <mergeCells count="15">
    <mergeCell ref="N6:N7"/>
    <mergeCell ref="O6:O7"/>
    <mergeCell ref="P6:P7"/>
    <mergeCell ref="H6:H7"/>
    <mergeCell ref="I6:I7"/>
    <mergeCell ref="J6:J7"/>
    <mergeCell ref="K6:K7"/>
    <mergeCell ref="L6:L7"/>
    <mergeCell ref="M6:M7"/>
    <mergeCell ref="B6:B8"/>
    <mergeCell ref="C6:C7"/>
    <mergeCell ref="D6:D7"/>
    <mergeCell ref="E6:E7"/>
    <mergeCell ref="F6:F7"/>
    <mergeCell ref="G6:G7"/>
  </mergeCells>
  <pageMargins left="0.75" right="0.75" top="1" bottom="1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1C42A-C7C2-4041-B9FF-1A21670D908F}">
  <sheetPr codeName="Hoja2">
    <tabColor theme="9" tint="0.59999389629810485"/>
  </sheetPr>
  <dimension ref="A2:U81"/>
  <sheetViews>
    <sheetView topLeftCell="A11" zoomScale="70" zoomScaleNormal="70" workbookViewId="0">
      <selection activeCell="C63" sqref="C63:O63"/>
    </sheetView>
  </sheetViews>
  <sheetFormatPr baseColWidth="10" defaultColWidth="11.3984375" defaultRowHeight="13" x14ac:dyDescent="0.3"/>
  <cols>
    <col min="1" max="1" width="9.09765625" style="87" customWidth="1"/>
    <col min="2" max="2" width="28" style="87" customWidth="1"/>
    <col min="3" max="3" width="17" style="87" customWidth="1"/>
    <col min="4" max="4" width="18.69921875" style="87" customWidth="1"/>
    <col min="5" max="5" width="20" style="87" customWidth="1"/>
    <col min="6" max="6" width="21.8984375" style="87" customWidth="1"/>
    <col min="7" max="7" width="18.09765625" style="87" customWidth="1"/>
    <col min="8" max="8" width="14.59765625" style="87" customWidth="1"/>
    <col min="9" max="9" width="21.3984375" style="87" customWidth="1"/>
    <col min="10" max="10" width="17.3984375" style="87" customWidth="1"/>
    <col min="11" max="11" width="16" style="87" bestFit="1" customWidth="1"/>
    <col min="12" max="12" width="15.296875" style="87" bestFit="1" customWidth="1"/>
    <col min="13" max="13" width="15.3984375" style="87" bestFit="1" customWidth="1"/>
    <col min="14" max="15" width="18.69921875" style="87" customWidth="1"/>
    <col min="16" max="16" width="15.296875" style="87" bestFit="1" customWidth="1"/>
    <col min="17" max="17" width="14" style="87" bestFit="1" customWidth="1"/>
    <col min="18" max="22" width="10.8984375" style="87" customWidth="1"/>
    <col min="23" max="23" width="13.296875" style="87" bestFit="1" customWidth="1"/>
    <col min="24" max="24" width="15.8984375" style="87" bestFit="1" customWidth="1"/>
    <col min="25" max="25" width="17" style="87" bestFit="1" customWidth="1"/>
    <col min="26" max="26" width="17.8984375" style="87" customWidth="1"/>
    <col min="27" max="16384" width="11.3984375" style="87"/>
  </cols>
  <sheetData>
    <row r="2" spans="1:11" x14ac:dyDescent="0.3">
      <c r="B2" s="88" t="s">
        <v>93</v>
      </c>
      <c r="C2" s="88"/>
      <c r="D2" s="88"/>
      <c r="E2" s="88"/>
      <c r="F2" s="88"/>
      <c r="G2" s="88"/>
      <c r="H2" s="88"/>
      <c r="J2" s="50" t="s">
        <v>94</v>
      </c>
      <c r="K2" s="50"/>
    </row>
    <row r="3" spans="1:11" x14ac:dyDescent="0.3">
      <c r="B3" s="89">
        <f>FechaFacturacion</f>
        <v>45839</v>
      </c>
      <c r="C3" s="90"/>
      <c r="D3" s="90"/>
      <c r="E3" s="90"/>
      <c r="F3" s="90"/>
      <c r="G3" s="90"/>
      <c r="H3" s="90"/>
    </row>
    <row r="6" spans="1:11" ht="12.75" customHeight="1" x14ac:dyDescent="0.3">
      <c r="B6" s="91" t="s">
        <v>6</v>
      </c>
      <c r="C6" s="92" t="s">
        <v>78</v>
      </c>
      <c r="E6" s="91" t="s">
        <v>6</v>
      </c>
      <c r="F6" s="29" t="s">
        <v>79</v>
      </c>
      <c r="G6" s="92" t="s">
        <v>80</v>
      </c>
      <c r="I6" s="91" t="s">
        <v>81</v>
      </c>
      <c r="J6" s="93" cm="1">
        <f t="array" ref="J6">SUMPRODUCT(($G$8:$G$32&gt;0)*($G$8:$G$32))</f>
        <v>972014700.1198802</v>
      </c>
      <c r="K6" s="94"/>
    </row>
    <row r="7" spans="1:11" ht="27" customHeight="1" x14ac:dyDescent="0.3">
      <c r="B7" s="91"/>
      <c r="C7" s="95"/>
      <c r="E7" s="91"/>
      <c r="F7" s="34"/>
      <c r="G7" s="95"/>
      <c r="I7" s="91"/>
      <c r="J7" s="93"/>
      <c r="K7" s="94"/>
    </row>
    <row r="8" spans="1:11" x14ac:dyDescent="0.3">
      <c r="B8" s="96" t="s">
        <v>14</v>
      </c>
      <c r="C8" s="97">
        <f>'Reliquidación CD RGL'!O9</f>
        <v>158131.23742725479</v>
      </c>
      <c r="D8" s="98"/>
      <c r="E8" s="96" t="s">
        <v>14</v>
      </c>
      <c r="F8" s="99">
        <v>0</v>
      </c>
      <c r="G8" s="99">
        <f>VLOOKUP(E8,$B$8:$C$42,2,0)+F8</f>
        <v>158131.23742725479</v>
      </c>
      <c r="H8" s="100"/>
      <c r="J8" s="50"/>
      <c r="K8" s="50"/>
    </row>
    <row r="9" spans="1:11" x14ac:dyDescent="0.3">
      <c r="B9" s="101" t="s">
        <v>15</v>
      </c>
      <c r="C9" s="99">
        <f>'Reliquidación CD RGL'!O10</f>
        <v>19969086.228885639</v>
      </c>
      <c r="D9" s="98"/>
      <c r="E9" s="101" t="s">
        <v>15</v>
      </c>
      <c r="F9" s="99">
        <v>0</v>
      </c>
      <c r="G9" s="99">
        <f>VLOOKUP(E9,$B$8:$C$42,2,0)+F9</f>
        <v>19969086.228885639</v>
      </c>
      <c r="H9" s="100"/>
      <c r="J9" s="50"/>
      <c r="K9" s="50"/>
    </row>
    <row r="10" spans="1:11" x14ac:dyDescent="0.3">
      <c r="B10" s="101" t="s">
        <v>16</v>
      </c>
      <c r="C10" s="99">
        <f>'Reliquidación CD RGL'!O11</f>
        <v>-12452726.641096059</v>
      </c>
      <c r="D10" s="98"/>
      <c r="E10" s="101" t="s">
        <v>16</v>
      </c>
      <c r="F10" s="99">
        <v>0</v>
      </c>
      <c r="G10" s="99">
        <f>VLOOKUP(E10,$B$8:$C$42,2,0)+F10</f>
        <v>-12452726.641096059</v>
      </c>
      <c r="H10" s="100"/>
      <c r="J10" s="50"/>
      <c r="K10" s="50"/>
    </row>
    <row r="11" spans="1:11" x14ac:dyDescent="0.3">
      <c r="B11" s="101" t="s">
        <v>17</v>
      </c>
      <c r="C11" s="99">
        <f>'Reliquidación CD RGL'!O12</f>
        <v>-3041156.919344292</v>
      </c>
      <c r="D11" s="98"/>
      <c r="E11" s="101" t="s">
        <v>17</v>
      </c>
      <c r="F11" s="99">
        <v>0</v>
      </c>
      <c r="G11" s="99">
        <f>VLOOKUP(E11,$B$8:$C$42,2,0)+F11</f>
        <v>-3041156.919344292</v>
      </c>
      <c r="H11" s="100"/>
      <c r="I11" s="50"/>
      <c r="J11" s="50"/>
      <c r="K11" s="50"/>
    </row>
    <row r="12" spans="1:11" x14ac:dyDescent="0.3">
      <c r="B12" s="101" t="s">
        <v>18</v>
      </c>
      <c r="C12" s="99">
        <f>'Reliquidación CD RGL'!O13</f>
        <v>-194466081.55597031</v>
      </c>
      <c r="D12" s="98"/>
      <c r="E12" s="101" t="s">
        <v>82</v>
      </c>
      <c r="F12" s="99">
        <v>0</v>
      </c>
      <c r="G12" s="99">
        <f>C12+C13+C14+C15+C16+C18+C19+C20+C37+C38+C39+F12</f>
        <v>327554938.52793223</v>
      </c>
      <c r="H12" s="100"/>
      <c r="I12" s="50"/>
      <c r="J12" s="50"/>
      <c r="K12" s="50"/>
    </row>
    <row r="13" spans="1:11" x14ac:dyDescent="0.3">
      <c r="B13" s="101" t="s">
        <v>20</v>
      </c>
      <c r="C13" s="99">
        <f>'Reliquidación CD RGL'!O14</f>
        <v>19554438.889404394</v>
      </c>
      <c r="D13" s="98"/>
      <c r="E13" s="101" t="s">
        <v>83</v>
      </c>
      <c r="F13" s="99">
        <v>0</v>
      </c>
      <c r="G13" s="99">
        <f>C17+F13</f>
        <v>-883889422.61170673</v>
      </c>
      <c r="H13" s="100"/>
      <c r="I13" s="50"/>
      <c r="J13" s="50"/>
      <c r="K13" s="50"/>
    </row>
    <row r="14" spans="1:11" x14ac:dyDescent="0.3">
      <c r="B14" s="101" t="s">
        <v>21</v>
      </c>
      <c r="C14" s="99">
        <f>'Reliquidación CD RGL'!O15</f>
        <v>198572001.61223879</v>
      </c>
      <c r="D14" s="98"/>
      <c r="E14" s="101" t="s">
        <v>29</v>
      </c>
      <c r="F14" s="99">
        <v>0</v>
      </c>
      <c r="G14" s="99">
        <f>VLOOKUP(E14,$B$8:$C$42,2,0)+F14</f>
        <v>4751614.4584578974</v>
      </c>
      <c r="H14" s="100"/>
      <c r="I14" s="50"/>
      <c r="J14" s="50"/>
      <c r="K14" s="50"/>
    </row>
    <row r="15" spans="1:11" x14ac:dyDescent="0.3">
      <c r="B15" s="101" t="s">
        <v>22</v>
      </c>
      <c r="C15" s="99">
        <f>'Reliquidación CD RGL'!O16</f>
        <v>0</v>
      </c>
      <c r="D15" s="98"/>
      <c r="E15" s="101" t="s">
        <v>30</v>
      </c>
      <c r="F15" s="99">
        <v>0</v>
      </c>
      <c r="G15" s="99">
        <f t="shared" ref="G15:G32" si="0">VLOOKUP(E15,$B$8:$C$42,2,0)+F15</f>
        <v>-18801963.50072043</v>
      </c>
      <c r="H15" s="100"/>
      <c r="I15" s="50"/>
      <c r="J15" s="50"/>
      <c r="K15" s="50"/>
    </row>
    <row r="16" spans="1:11" x14ac:dyDescent="0.3">
      <c r="A16" s="50"/>
      <c r="B16" s="101" t="s">
        <v>23</v>
      </c>
      <c r="C16" s="99">
        <f>'Reliquidación CD RGL'!O17</f>
        <v>0</v>
      </c>
      <c r="D16" s="98"/>
      <c r="E16" s="101" t="s">
        <v>31</v>
      </c>
      <c r="F16" s="99">
        <v>0</v>
      </c>
      <c r="G16" s="99">
        <f t="shared" si="0"/>
        <v>-21995975.001095191</v>
      </c>
      <c r="H16" s="100"/>
      <c r="I16" s="50"/>
      <c r="J16" s="50"/>
      <c r="K16" s="50"/>
    </row>
    <row r="17" spans="1:11" x14ac:dyDescent="0.3">
      <c r="B17" s="101" t="s">
        <v>24</v>
      </c>
      <c r="C17" s="99">
        <f>'Reliquidación CD RGL'!O18</f>
        <v>-883889422.61170673</v>
      </c>
      <c r="D17" s="98"/>
      <c r="E17" s="101" t="s">
        <v>32</v>
      </c>
      <c r="F17" s="99">
        <v>0</v>
      </c>
      <c r="G17" s="99">
        <f t="shared" si="0"/>
        <v>4940044.1886659572</v>
      </c>
      <c r="H17" s="100"/>
      <c r="I17" s="50"/>
      <c r="J17" s="50"/>
      <c r="K17" s="50"/>
    </row>
    <row r="18" spans="1:11" x14ac:dyDescent="0.3">
      <c r="B18" s="101" t="s">
        <v>26</v>
      </c>
      <c r="C18" s="99">
        <f>'Reliquidación CD RGL'!O19</f>
        <v>66638418.481630407</v>
      </c>
      <c r="D18" s="98"/>
      <c r="E18" s="101" t="s">
        <v>33</v>
      </c>
      <c r="F18" s="99">
        <v>0</v>
      </c>
      <c r="G18" s="99">
        <f t="shared" si="0"/>
        <v>-2958936.9351957873</v>
      </c>
      <c r="H18" s="100"/>
      <c r="I18" s="50"/>
      <c r="J18" s="50"/>
      <c r="K18" s="50"/>
    </row>
    <row r="19" spans="1:11" x14ac:dyDescent="0.3">
      <c r="B19" s="101" t="s">
        <v>27</v>
      </c>
      <c r="C19" s="99">
        <f>'Reliquidación CD RGL'!O20</f>
        <v>-38341265.994202994</v>
      </c>
      <c r="D19" s="98"/>
      <c r="E19" s="101" t="s">
        <v>34</v>
      </c>
      <c r="F19" s="99">
        <v>0</v>
      </c>
      <c r="G19" s="99">
        <f t="shared" si="0"/>
        <v>176219.61475189889</v>
      </c>
      <c r="H19" s="100"/>
      <c r="I19" s="50"/>
      <c r="J19" s="50"/>
      <c r="K19" s="50"/>
    </row>
    <row r="20" spans="1:11" x14ac:dyDescent="0.3">
      <c r="B20" s="101" t="s">
        <v>28</v>
      </c>
      <c r="C20" s="99">
        <f>'Reliquidación CD RGL'!O21</f>
        <v>0</v>
      </c>
      <c r="D20" s="98"/>
      <c r="E20" s="101" t="s">
        <v>35</v>
      </c>
      <c r="F20" s="99">
        <v>0</v>
      </c>
      <c r="G20" s="99">
        <f t="shared" si="0"/>
        <v>75781224.802939638</v>
      </c>
      <c r="H20" s="100"/>
      <c r="I20" s="50"/>
      <c r="J20" s="50"/>
      <c r="K20" s="50"/>
    </row>
    <row r="21" spans="1:11" x14ac:dyDescent="0.3">
      <c r="B21" s="101" t="s">
        <v>29</v>
      </c>
      <c r="C21" s="99">
        <f>'Reliquidación CD RGL'!O22</f>
        <v>4751614.4584578974</v>
      </c>
      <c r="D21" s="98"/>
      <c r="E21" s="101" t="s">
        <v>36</v>
      </c>
      <c r="F21" s="99">
        <v>0</v>
      </c>
      <c r="G21" s="99">
        <f t="shared" si="0"/>
        <v>18833508.828175951</v>
      </c>
      <c r="H21" s="100"/>
      <c r="I21" s="50"/>
      <c r="J21" s="50"/>
      <c r="K21" s="50"/>
    </row>
    <row r="22" spans="1:11" x14ac:dyDescent="0.3">
      <c r="B22" s="101" t="s">
        <v>30</v>
      </c>
      <c r="C22" s="99">
        <f>'Reliquidación CD RGL'!O23</f>
        <v>-18801963.50072043</v>
      </c>
      <c r="D22" s="98"/>
      <c r="E22" s="101" t="s">
        <v>37</v>
      </c>
      <c r="F22" s="99">
        <v>0</v>
      </c>
      <c r="G22" s="99">
        <f t="shared" si="0"/>
        <v>197015950.43604106</v>
      </c>
      <c r="H22" s="100"/>
      <c r="I22" s="50"/>
      <c r="J22" s="50"/>
      <c r="K22" s="50"/>
    </row>
    <row r="23" spans="1:11" x14ac:dyDescent="0.3">
      <c r="B23" s="101" t="s">
        <v>31</v>
      </c>
      <c r="C23" s="99">
        <f>'Reliquidación CD RGL'!O24</f>
        <v>-21995975.001095191</v>
      </c>
      <c r="D23" s="98"/>
      <c r="E23" s="101" t="s">
        <v>38</v>
      </c>
      <c r="F23" s="99">
        <v>0</v>
      </c>
      <c r="G23" s="99">
        <f t="shared" si="0"/>
        <v>-3510738.5415225714</v>
      </c>
      <c r="H23" s="100"/>
      <c r="I23" s="50"/>
      <c r="J23" s="50"/>
      <c r="K23" s="50"/>
    </row>
    <row r="24" spans="1:11" x14ac:dyDescent="0.3">
      <c r="B24" s="101" t="s">
        <v>32</v>
      </c>
      <c r="C24" s="99">
        <f>'Reliquidación CD RGL'!O25</f>
        <v>4940044.1886659572</v>
      </c>
      <c r="D24" s="98"/>
      <c r="E24" s="101" t="s">
        <v>39</v>
      </c>
      <c r="F24" s="99">
        <v>0</v>
      </c>
      <c r="G24" s="99">
        <f t="shared" si="0"/>
        <v>256663437.61846206</v>
      </c>
      <c r="H24" s="100"/>
      <c r="I24" s="50"/>
      <c r="J24" s="50"/>
      <c r="K24" s="50"/>
    </row>
    <row r="25" spans="1:11" x14ac:dyDescent="0.3">
      <c r="B25" s="101" t="s">
        <v>33</v>
      </c>
      <c r="C25" s="99">
        <f>'Reliquidación CD RGL'!O26</f>
        <v>-2958936.9351957873</v>
      </c>
      <c r="D25" s="98"/>
      <c r="E25" s="101" t="s">
        <v>40</v>
      </c>
      <c r="F25" s="99">
        <v>0</v>
      </c>
      <c r="G25" s="99">
        <f t="shared" si="0"/>
        <v>-3747262.5174044431</v>
      </c>
      <c r="H25" s="100"/>
      <c r="I25" s="50"/>
      <c r="J25" s="50"/>
      <c r="K25" s="50"/>
    </row>
    <row r="26" spans="1:11" x14ac:dyDescent="0.3">
      <c r="B26" s="101" t="s">
        <v>34</v>
      </c>
      <c r="C26" s="99">
        <f>'Reliquidación CD RGL'!O27</f>
        <v>176219.61475189889</v>
      </c>
      <c r="D26" s="98"/>
      <c r="E26" s="101" t="s">
        <v>41</v>
      </c>
      <c r="F26" s="99">
        <v>0</v>
      </c>
      <c r="G26" s="99">
        <f t="shared" si="0"/>
        <v>-15124663.759186795</v>
      </c>
      <c r="H26" s="100"/>
      <c r="I26" s="50"/>
      <c r="J26" s="50"/>
      <c r="K26" s="50"/>
    </row>
    <row r="27" spans="1:11" x14ac:dyDescent="0.3">
      <c r="B27" s="101" t="s">
        <v>35</v>
      </c>
      <c r="C27" s="99">
        <f>'Reliquidación CD RGL'!O28</f>
        <v>75781224.802939638</v>
      </c>
      <c r="D27" s="98"/>
      <c r="E27" s="101" t="s">
        <v>42</v>
      </c>
      <c r="F27" s="99">
        <v>0</v>
      </c>
      <c r="G27" s="99">
        <f t="shared" si="0"/>
        <v>50442994.876411617</v>
      </c>
      <c r="H27" s="100"/>
      <c r="I27" s="50"/>
      <c r="J27" s="50"/>
      <c r="K27" s="50"/>
    </row>
    <row r="28" spans="1:11" x14ac:dyDescent="0.3">
      <c r="B28" s="101" t="s">
        <v>36</v>
      </c>
      <c r="C28" s="99">
        <f>'Reliquidación CD RGL'!O29</f>
        <v>18833508.828175951</v>
      </c>
      <c r="D28" s="98"/>
      <c r="E28" s="101" t="s">
        <v>43</v>
      </c>
      <c r="F28" s="99">
        <v>0</v>
      </c>
      <c r="G28" s="99">
        <f t="shared" si="0"/>
        <v>-6491853.6926079923</v>
      </c>
      <c r="H28" s="100"/>
      <c r="I28" s="50"/>
      <c r="J28" s="50"/>
      <c r="K28" s="50"/>
    </row>
    <row r="29" spans="1:11" x14ac:dyDescent="0.3">
      <c r="A29" s="50"/>
      <c r="B29" s="101" t="s">
        <v>37</v>
      </c>
      <c r="C29" s="99">
        <f>'Reliquidación CD RGL'!O30</f>
        <v>197015950.43604106</v>
      </c>
      <c r="D29" s="98"/>
      <c r="E29" s="101" t="s">
        <v>45</v>
      </c>
      <c r="F29" s="99">
        <v>0</v>
      </c>
      <c r="G29" s="99">
        <f t="shared" si="0"/>
        <v>13024126.099391291</v>
      </c>
      <c r="H29" s="100"/>
      <c r="I29" s="50"/>
      <c r="J29" s="50"/>
      <c r="K29" s="50"/>
    </row>
    <row r="30" spans="1:11" x14ac:dyDescent="0.3">
      <c r="B30" s="101" t="s">
        <v>38</v>
      </c>
      <c r="C30" s="99">
        <f>'Reliquidación CD RGL'!O31</f>
        <v>-3510738.5415225714</v>
      </c>
      <c r="D30" s="98"/>
      <c r="E30" s="101" t="s">
        <v>49</v>
      </c>
      <c r="F30" s="99">
        <v>0</v>
      </c>
      <c r="G30" s="99">
        <f t="shared" si="0"/>
        <v>0</v>
      </c>
      <c r="H30" s="100"/>
      <c r="I30" s="50"/>
      <c r="J30" s="50"/>
      <c r="K30" s="50"/>
    </row>
    <row r="31" spans="1:11" x14ac:dyDescent="0.3">
      <c r="A31" s="50"/>
      <c r="B31" s="101" t="s">
        <v>39</v>
      </c>
      <c r="C31" s="99">
        <f>'Reliquidación CD RGL'!O32</f>
        <v>256663437.61846206</v>
      </c>
      <c r="D31" s="98"/>
      <c r="E31" s="42" t="s">
        <v>50</v>
      </c>
      <c r="F31" s="99">
        <v>0</v>
      </c>
      <c r="G31" s="99">
        <f t="shared" si="0"/>
        <v>0</v>
      </c>
      <c r="H31" s="100"/>
      <c r="I31" s="50"/>
      <c r="J31" s="50"/>
      <c r="K31" s="50"/>
    </row>
    <row r="32" spans="1:11" x14ac:dyDescent="0.3">
      <c r="A32" s="50"/>
      <c r="B32" s="101" t="s">
        <v>40</v>
      </c>
      <c r="C32" s="99">
        <f>'Reliquidación CD RGL'!O33</f>
        <v>-3747262.5174044431</v>
      </c>
      <c r="D32" s="98"/>
      <c r="E32" s="102" t="s">
        <v>51</v>
      </c>
      <c r="F32" s="99">
        <v>0</v>
      </c>
      <c r="G32" s="99">
        <f t="shared" si="0"/>
        <v>2703423.2023375928</v>
      </c>
      <c r="H32" s="98"/>
      <c r="I32" s="50"/>
      <c r="J32" s="50"/>
      <c r="K32" s="50"/>
    </row>
    <row r="33" spans="1:21" x14ac:dyDescent="0.3">
      <c r="A33" s="50"/>
      <c r="B33" s="101" t="s">
        <v>41</v>
      </c>
      <c r="C33" s="99">
        <f>'Reliquidación CD RGL'!O34</f>
        <v>-15124663.759186795</v>
      </c>
      <c r="D33" s="98"/>
      <c r="E33" s="103" t="s">
        <v>66</v>
      </c>
      <c r="F33" s="104">
        <f>SUM(F7:F32)</f>
        <v>0</v>
      </c>
      <c r="G33" s="104">
        <f>SUM(G8:G32)</f>
        <v>-4.2840838432312012E-8</v>
      </c>
      <c r="H33" s="105"/>
      <c r="I33" s="50"/>
      <c r="J33" s="50"/>
      <c r="K33" s="50"/>
    </row>
    <row r="34" spans="1:21" x14ac:dyDescent="0.3">
      <c r="B34" s="101" t="s">
        <v>42</v>
      </c>
      <c r="C34" s="99">
        <f>'Reliquidación CD RGL'!O35</f>
        <v>50442994.876411617</v>
      </c>
      <c r="D34" s="98"/>
      <c r="E34" s="106"/>
      <c r="F34" s="106"/>
      <c r="G34" s="107"/>
      <c r="H34" s="105"/>
      <c r="I34" s="50"/>
      <c r="J34" s="50"/>
      <c r="K34" s="50"/>
    </row>
    <row r="35" spans="1:21" x14ac:dyDescent="0.3">
      <c r="A35" s="50"/>
      <c r="B35" s="101" t="s">
        <v>43</v>
      </c>
      <c r="C35" s="99">
        <f>'Reliquidación CD RGL'!O36</f>
        <v>-6491853.6926079923</v>
      </c>
      <c r="D35" s="98"/>
      <c r="E35" s="106"/>
      <c r="F35" s="67"/>
      <c r="G35" s="107"/>
      <c r="H35" s="105"/>
      <c r="I35" s="50"/>
      <c r="J35" s="50"/>
      <c r="K35" s="50"/>
    </row>
    <row r="36" spans="1:21" x14ac:dyDescent="0.3">
      <c r="A36" s="50"/>
      <c r="B36" s="101" t="s">
        <v>45</v>
      </c>
      <c r="C36" s="99">
        <f>'Reliquidación CD RGL'!O37</f>
        <v>13024126.099391291</v>
      </c>
      <c r="D36" s="98"/>
      <c r="E36" s="106"/>
      <c r="F36" s="106"/>
      <c r="G36" s="107"/>
      <c r="H36" s="105"/>
      <c r="I36" s="50"/>
      <c r="J36" s="50"/>
      <c r="K36" s="50"/>
    </row>
    <row r="37" spans="1:21" x14ac:dyDescent="0.3">
      <c r="B37" s="101" t="s">
        <v>46</v>
      </c>
      <c r="C37" s="99">
        <f>'Reliquidación CD RGL'!O38</f>
        <v>-28320499.617424648</v>
      </c>
      <c r="D37" s="98"/>
      <c r="E37" s="106"/>
      <c r="F37" s="106"/>
      <c r="G37" s="107"/>
      <c r="H37" s="105"/>
      <c r="I37" s="50"/>
      <c r="J37" s="50"/>
      <c r="K37" s="50"/>
    </row>
    <row r="38" spans="1:21" x14ac:dyDescent="0.3">
      <c r="B38" s="101" t="s">
        <v>47</v>
      </c>
      <c r="C38" s="99">
        <f>'Reliquidación CD RGL'!O39</f>
        <v>93998484.210583478</v>
      </c>
      <c r="D38" s="98"/>
      <c r="E38" s="106"/>
      <c r="F38" s="106"/>
      <c r="G38" s="107"/>
      <c r="H38" s="105"/>
      <c r="I38" s="50"/>
      <c r="J38" s="50"/>
      <c r="K38" s="50"/>
    </row>
    <row r="39" spans="1:21" x14ac:dyDescent="0.3">
      <c r="B39" s="101" t="s">
        <v>48</v>
      </c>
      <c r="C39" s="99">
        <f>'Reliquidación CD RGL'!O40</f>
        <v>209919442.5016731</v>
      </c>
      <c r="D39" s="98"/>
      <c r="E39" s="106"/>
      <c r="F39" s="106"/>
      <c r="G39" s="107"/>
      <c r="H39" s="105"/>
      <c r="I39" s="50"/>
      <c r="J39" s="50"/>
      <c r="K39" s="50"/>
    </row>
    <row r="40" spans="1:21" x14ac:dyDescent="0.3">
      <c r="B40" s="101" t="s">
        <v>49</v>
      </c>
      <c r="C40" s="99">
        <f>'Reliquidación CD RGL'!O41</f>
        <v>0</v>
      </c>
      <c r="D40" s="98"/>
      <c r="E40" s="106"/>
      <c r="F40" s="106"/>
      <c r="G40" s="107"/>
      <c r="H40" s="105"/>
      <c r="I40" s="50"/>
      <c r="J40" s="50"/>
      <c r="K40" s="50"/>
      <c r="L40" s="50"/>
      <c r="M40" s="50"/>
      <c r="N40" s="50"/>
      <c r="O40" s="50"/>
    </row>
    <row r="41" spans="1:21" x14ac:dyDescent="0.3">
      <c r="B41" s="42" t="s">
        <v>50</v>
      </c>
      <c r="C41" s="99">
        <f>'Reliquidación CD RGL'!O42</f>
        <v>0</v>
      </c>
      <c r="D41" s="98"/>
      <c r="E41" s="106"/>
      <c r="F41" s="106"/>
      <c r="G41" s="107"/>
      <c r="H41" s="105"/>
      <c r="I41" s="50"/>
      <c r="J41" s="50"/>
      <c r="K41" s="50"/>
      <c r="L41" s="50"/>
      <c r="M41" s="50"/>
      <c r="N41" s="50"/>
      <c r="O41" s="50"/>
    </row>
    <row r="42" spans="1:21" x14ac:dyDescent="0.3">
      <c r="B42" s="102" t="s">
        <v>51</v>
      </c>
      <c r="C42" s="108">
        <f>'Reliquidación CD RGL'!O43</f>
        <v>2703423.2023375928</v>
      </c>
      <c r="D42" s="98"/>
      <c r="E42" s="106"/>
      <c r="F42" s="106"/>
      <c r="G42" s="107"/>
      <c r="H42" s="105"/>
      <c r="I42" s="50"/>
      <c r="J42" s="50"/>
      <c r="K42" s="50"/>
    </row>
    <row r="43" spans="1:21" x14ac:dyDescent="0.3">
      <c r="B43" s="103" t="s">
        <v>66</v>
      </c>
      <c r="C43" s="104">
        <f>SUM(C8:C42)</f>
        <v>-1.1920928955078125E-7</v>
      </c>
      <c r="D43" s="109"/>
      <c r="E43" s="50"/>
      <c r="F43" s="50"/>
      <c r="H43" s="105"/>
      <c r="I43" s="50"/>
      <c r="J43" s="50"/>
      <c r="K43" s="50"/>
    </row>
    <row r="44" spans="1:21" x14ac:dyDescent="0.3">
      <c r="B44" s="106"/>
      <c r="C44" s="110"/>
      <c r="E44" s="50"/>
      <c r="F44" s="50"/>
      <c r="H44" s="50"/>
      <c r="I44" s="50"/>
    </row>
    <row r="45" spans="1:21" x14ac:dyDescent="0.3">
      <c r="B45" s="106"/>
      <c r="C45" s="110"/>
      <c r="D45" s="110"/>
      <c r="H45" s="50"/>
    </row>
    <row r="46" spans="1:21" x14ac:dyDescent="0.3">
      <c r="B46" s="50"/>
      <c r="C46" s="50"/>
      <c r="D46" s="50"/>
      <c r="E46" s="107"/>
      <c r="F46" s="107"/>
      <c r="G46" s="50"/>
      <c r="H46" s="50"/>
      <c r="I46" s="50"/>
      <c r="J46" s="50"/>
      <c r="K46" s="50"/>
      <c r="L46" s="50"/>
      <c r="M46" s="50"/>
      <c r="N46" s="50"/>
      <c r="O46" s="50"/>
      <c r="P46" s="50"/>
    </row>
    <row r="47" spans="1:21" x14ac:dyDescent="0.3">
      <c r="B47" s="111" t="s">
        <v>84</v>
      </c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R47" s="50"/>
      <c r="S47" s="50"/>
      <c r="T47" s="50"/>
      <c r="U47" s="50"/>
    </row>
    <row r="48" spans="1:21" x14ac:dyDescent="0.3">
      <c r="B48" s="50"/>
      <c r="C48" s="50"/>
      <c r="D48" s="50"/>
      <c r="E48" s="107"/>
      <c r="F48" s="107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</row>
    <row r="49" spans="2:17" x14ac:dyDescent="0.3">
      <c r="B49" s="112" t="s">
        <v>85</v>
      </c>
      <c r="C49" s="113" t="s">
        <v>86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5"/>
      <c r="P49" s="116" t="s">
        <v>52</v>
      </c>
    </row>
    <row r="50" spans="2:17" x14ac:dyDescent="0.3">
      <c r="B50" s="117"/>
      <c r="C50" s="48" t="s">
        <v>14</v>
      </c>
      <c r="D50" s="49" t="s">
        <v>15</v>
      </c>
      <c r="E50" s="48" t="s">
        <v>82</v>
      </c>
      <c r="F50" s="49" t="s">
        <v>29</v>
      </c>
      <c r="G50" s="48" t="s">
        <v>32</v>
      </c>
      <c r="H50" s="48" t="s">
        <v>35</v>
      </c>
      <c r="I50" s="49" t="s">
        <v>37</v>
      </c>
      <c r="J50" s="81" t="s">
        <v>39</v>
      </c>
      <c r="K50" s="49" t="s">
        <v>42</v>
      </c>
      <c r="L50" s="78" t="s">
        <v>45</v>
      </c>
      <c r="M50" s="49" t="s">
        <v>51</v>
      </c>
      <c r="N50" s="49" t="s">
        <v>36</v>
      </c>
      <c r="O50" s="49" t="s">
        <v>34</v>
      </c>
      <c r="P50" s="118"/>
    </row>
    <row r="51" spans="2:17" ht="12" customHeight="1" x14ac:dyDescent="0.3">
      <c r="B51" s="78" t="s">
        <v>16</v>
      </c>
      <c r="C51" s="119" cm="1">
        <f t="array" ref="C51">(VLOOKUP($B51,$E$8:$G$32,3,0)*(-(VLOOKUP(C$50,$E$8:$G$32,3,0))))/SUMPRODUCT(($G$8:$G$32&gt;0)*($G$8:$G$32))</f>
        <v>2025.8593546548232</v>
      </c>
      <c r="D51" s="119" cm="1">
        <f t="array" ref="D51">(VLOOKUP($B51,$E$8:$G$32,3,0)*(-(VLOOKUP(D$50,$E$8:$G$32,3,0))))/SUMPRODUCT(($G$8:$G$32&gt;0)*($G$8:$G$32))</f>
        <v>255829.02403648815</v>
      </c>
      <c r="E51" s="119" cm="1">
        <f t="array" ref="E51">(VLOOKUP($B51,$E$8:$G$32,3,0)*(-(VLOOKUP(E$50,$E$8:$G$32,3,0))))/SUMPRODUCT(($G$8:$G$32&gt;0)*($G$8:$G$32))</f>
        <v>4196389.3230486121</v>
      </c>
      <c r="F51" s="119" cm="1">
        <f t="array" ref="F51">(VLOOKUP($B51,$E$8:$G$32,3,0)*(-(VLOOKUP(F$50,$E$8:$G$32,3,0))))/SUMPRODUCT(($G$8:$G$32&gt;0)*($G$8:$G$32))</f>
        <v>60874.136932042573</v>
      </c>
      <c r="G51" s="119" cm="1">
        <f t="array" ref="G51">(VLOOKUP($B51,$E$8:$G$32,3,0)*(-(VLOOKUP(G$50,$E$8:$G$32,3,0))))/SUMPRODUCT(($G$8:$G$32&gt;0)*($G$8:$G$32))</f>
        <v>63288.157955641349</v>
      </c>
      <c r="H51" s="119" cm="1">
        <f t="array" ref="H51">(VLOOKUP($B51,$E$8:$G$32,3,0)*(-(VLOOKUP(H$50,$E$8:$G$32,3,0))))/SUMPRODUCT(($G$8:$G$32&gt;0)*($G$8:$G$32))</f>
        <v>970852.4746406303</v>
      </c>
      <c r="I51" s="119" cm="1">
        <f t="array" ref="I51">(VLOOKUP($B51,$E$8:$G$32,3,0)*(-(VLOOKUP(I$50,$E$8:$G$32,3,0))))/SUMPRODUCT(($G$8:$G$32&gt;0)*($G$8:$G$32))</f>
        <v>2524021.2667701105</v>
      </c>
      <c r="J51" s="119" cm="1">
        <f t="array" ref="J51">(VLOOKUP($B51,$E$8:$G$32,3,0)*(-(VLOOKUP(J$50,$E$8:$G$32,3,0))))/SUMPRODUCT(($G$8:$G$32&gt;0)*($G$8:$G$32))</f>
        <v>3288180.3403102146</v>
      </c>
      <c r="K51" s="119" cm="1">
        <f t="array" ref="K51">(VLOOKUP($B51,$E$8:$G$32,3,0)*(-(VLOOKUP(K$50,$E$8:$G$32,3,0))))/SUMPRODUCT(($G$8:$G$32&gt;0)*($G$8:$G$32))</f>
        <v>646237.99010106723</v>
      </c>
      <c r="L51" s="119" cm="1">
        <f t="array" ref="L51">(VLOOKUP($B51,$E$8:$G$32,3,0)*(-(VLOOKUP(L$50,$E$8:$G$32,3,0))))/SUMPRODUCT(($G$8:$G$32&gt;0)*($G$8:$G$32))</f>
        <v>166855.37989793959</v>
      </c>
      <c r="M51" s="119" cm="1">
        <f t="array" ref="M51">(VLOOKUP($B51,$E$8:$G$32,3,0)*(-(VLOOKUP(M$50,$E$8:$G$32,3,0))))/SUMPRODUCT(($G$8:$G$32&gt;0)*($G$8:$G$32))</f>
        <v>34634.239718550147</v>
      </c>
      <c r="N51" s="119" cm="1">
        <f t="array" ref="N51">(VLOOKUP($B51,$E$8:$G$32,3,0)*(-(VLOOKUP(N$50,$E$8:$G$32,3,0))))/SUMPRODUCT(($G$8:$G$32&gt;0)*($G$8:$G$32))</f>
        <v>241280.85418977687</v>
      </c>
      <c r="O51" s="119" cm="1">
        <f t="array" ref="O51">(VLOOKUP($B51,$E$8:$G$32,3,0)*(-(VLOOKUP(O$50,$E$8:$G$32,3,0))))/SUMPRODUCT(($G$8:$G$32&gt;0)*($G$8:$G$32))</f>
        <v>2257.5941403293741</v>
      </c>
      <c r="P51" s="120">
        <f>SUM(C51:O51)</f>
        <v>12452726.641096057</v>
      </c>
    </row>
    <row r="52" spans="2:17" x14ac:dyDescent="0.3">
      <c r="B52" s="81" t="s">
        <v>17</v>
      </c>
      <c r="C52" s="119" cm="1">
        <f t="array" ref="C52">(VLOOKUP($B52,$E$8:$G$32,3,0)*(-(VLOOKUP(C$50,$E$8:$G$32,3,0))))/SUMPRODUCT(($G$8:$G$32&gt;0)*($G$8:$G$32))</f>
        <v>494.74756586197776</v>
      </c>
      <c r="D52" s="119" cm="1">
        <f t="array" ref="D52">(VLOOKUP($B52,$E$8:$G$32,3,0)*(-(VLOOKUP(D$50,$E$8:$G$32,3,0))))/SUMPRODUCT(($G$8:$G$32&gt;0)*($G$8:$G$32))</f>
        <v>62477.578528872611</v>
      </c>
      <c r="E52" s="119" cm="1">
        <f t="array" ref="E52">(VLOOKUP($B52,$E$8:$G$32,3,0)*(-(VLOOKUP(E$50,$E$8:$G$32,3,0))))/SUMPRODUCT(($G$8:$G$32&gt;0)*($G$8:$G$32))</f>
        <v>1024826.0315885748</v>
      </c>
      <c r="F52" s="119" cm="1">
        <f t="array" ref="F52">(VLOOKUP($B52,$E$8:$G$32,3,0)*(-(VLOOKUP(F$50,$E$8:$G$32,3,0))))/SUMPRODUCT(($G$8:$G$32&gt;0)*($G$8:$G$32))</f>
        <v>14866.447170617299</v>
      </c>
      <c r="G52" s="119" cm="1">
        <f t="array" ref="G52">(VLOOKUP($B52,$E$8:$G$32,3,0)*(-(VLOOKUP(G$50,$E$8:$G$32,3,0))))/SUMPRODUCT(($G$8:$G$32&gt;0)*($G$8:$G$32))</f>
        <v>15455.990083663517</v>
      </c>
      <c r="H52" s="119" cm="1">
        <f t="array" ref="H52">(VLOOKUP($B52,$E$8:$G$32,3,0)*(-(VLOOKUP(H$50,$E$8:$G$32,3,0))))/SUMPRODUCT(($G$8:$G$32&gt;0)*($G$8:$G$32))</f>
        <v>237097.85061627341</v>
      </c>
      <c r="I52" s="119" cm="1">
        <f t="array" ref="I52">(VLOOKUP($B52,$E$8:$G$32,3,0)*(-(VLOOKUP(I$50,$E$8:$G$32,3,0))))/SUMPRODUCT(($G$8:$G$32&gt;0)*($G$8:$G$32))</f>
        <v>616406.74859738583</v>
      </c>
      <c r="J52" s="119" cm="1">
        <f t="array" ref="J52">(VLOOKUP($B52,$E$8:$G$32,3,0)*(-(VLOOKUP(J$50,$E$8:$G$32,3,0))))/SUMPRODUCT(($G$8:$G$32&gt;0)*($G$8:$G$32))</f>
        <v>803026.73319633026</v>
      </c>
      <c r="K52" s="119" cm="1">
        <f t="array" ref="K52">(VLOOKUP($B52,$E$8:$G$32,3,0)*(-(VLOOKUP(K$50,$E$8:$G$32,3,0))))/SUMPRODUCT(($G$8:$G$32&gt;0)*($G$8:$G$32))</f>
        <v>157821.75195696953</v>
      </c>
      <c r="L52" s="119" cm="1">
        <f t="array" ref="L52">(VLOOKUP($B52,$E$8:$G$32,3,0)*(-(VLOOKUP(L$50,$E$8:$G$32,3,0))))/SUMPRODUCT(($G$8:$G$32&gt;0)*($G$8:$G$32))</f>
        <v>40748.777977011494</v>
      </c>
      <c r="M52" s="119" cm="1">
        <f t="array" ref="M52">(VLOOKUP($B52,$E$8:$G$32,3,0)*(-(VLOOKUP(M$50,$E$8:$G$32,3,0))))/SUMPRODUCT(($G$8:$G$32&gt;0)*($G$8:$G$32))</f>
        <v>8458.2405767020791</v>
      </c>
      <c r="N52" s="119" cm="1">
        <f t="array" ref="N52">(VLOOKUP($B52,$E$8:$G$32,3,0)*(-(VLOOKUP(N$50,$E$8:$G$32,3,0))))/SUMPRODUCT(($G$8:$G$32&gt;0)*($G$8:$G$32))</f>
        <v>58924.68054369466</v>
      </c>
      <c r="O52" s="119" cm="1">
        <f t="array" ref="O52">(VLOOKUP($B52,$E$8:$G$32,3,0)*(-(VLOOKUP(O$50,$E$8:$G$32,3,0))))/SUMPRODUCT(($G$8:$G$32&gt;0)*($G$8:$G$32))</f>
        <v>551.340942334337</v>
      </c>
      <c r="P52" s="120">
        <f t="shared" ref="P52:P62" si="1">SUM(C52:O52)</f>
        <v>3041156.919344292</v>
      </c>
    </row>
    <row r="53" spans="2:17" x14ac:dyDescent="0.3">
      <c r="B53" s="81" t="s">
        <v>83</v>
      </c>
      <c r="C53" s="119" cm="1">
        <f t="array" ref="C53">(VLOOKUP($B53,$E$8:$G$32,3,0)*(-(VLOOKUP(C$50,$E$8:$G$32,3,0))))/SUMPRODUCT(($G$8:$G$32&gt;0)*($G$8:$G$32))</f>
        <v>143794.66496670558</v>
      </c>
      <c r="D53" s="119" cm="1">
        <f t="array" ref="D53">(VLOOKUP($B53,$E$8:$G$32,3,0)*(-(VLOOKUP(D$50,$E$8:$G$32,3,0))))/SUMPRODUCT(($G$8:$G$32&gt;0)*($G$8:$G$32))</f>
        <v>18158639.056339633</v>
      </c>
      <c r="E53" s="119" cm="1">
        <f t="array" ref="E53">(VLOOKUP($B53,$E$8:$G$32,3,0)*(-(VLOOKUP(E$50,$E$8:$G$32,3,0))))/SUMPRODUCT(($G$8:$G$32&gt;0)*($G$8:$G$32))</f>
        <v>297857990.67993504</v>
      </c>
      <c r="F53" s="119" cm="1">
        <f t="array" ref="F53">(VLOOKUP($B53,$E$8:$G$32,3,0)*(-(VLOOKUP(F$50,$E$8:$G$32,3,0))))/SUMPRODUCT(($G$8:$G$32&gt;0)*($G$8:$G$32))</f>
        <v>4320821.2382403351</v>
      </c>
      <c r="G53" s="119" cm="1">
        <f t="array" ref="G53">(VLOOKUP($B53,$E$8:$G$32,3,0)*(-(VLOOKUP(G$50,$E$8:$G$32,3,0))))/SUMPRODUCT(($G$8:$G$32&gt;0)*($G$8:$G$32))</f>
        <v>4492167.4590494856</v>
      </c>
      <c r="H53" s="119" cm="1">
        <f t="array" ref="H53">(VLOOKUP($B53,$E$8:$G$32,3,0)*(-(VLOOKUP(H$50,$E$8:$G$32,3,0))))/SUMPRODUCT(($G$8:$G$32&gt;0)*($G$8:$G$32))</f>
        <v>68910709.917882144</v>
      </c>
      <c r="I53" s="119" cm="1">
        <f t="array" ref="I53">(VLOOKUP($B53,$E$8:$G$32,3,0)*(-(VLOOKUP(I$50,$E$8:$G$32,3,0))))/SUMPRODUCT(($G$8:$G$32&gt;0)*($G$8:$G$32))</f>
        <v>179153992.89201277</v>
      </c>
      <c r="J53" s="119" cm="1">
        <f t="array" ref="J53">(VLOOKUP($B53,$E$8:$G$32,3,0)*(-(VLOOKUP(J$50,$E$8:$G$32,3,0))))/SUMPRODUCT(($G$8:$G$32&gt;0)*($G$8:$G$32))</f>
        <v>233393690.08939779</v>
      </c>
      <c r="K53" s="119" cm="1">
        <f t="array" ref="K53">(VLOOKUP($B53,$E$8:$G$32,3,0)*(-(VLOOKUP(K$50,$E$8:$G$32,3,0))))/SUMPRODUCT(($G$8:$G$32&gt;0)*($G$8:$G$32))</f>
        <v>45869707.125435323</v>
      </c>
      <c r="L53" s="119" cm="1">
        <f t="array" ref="L53">(VLOOKUP($B53,$E$8:$G$32,3,0)*(-(VLOOKUP(L$50,$E$8:$G$32,3,0))))/SUMPRODUCT(($G$8:$G$32&gt;0)*($G$8:$G$32))</f>
        <v>11843326.337135896</v>
      </c>
      <c r="M53" s="119" cm="1">
        <f t="array" ref="M53">(VLOOKUP($B53,$E$8:$G$32,3,0)*(-(VLOOKUP(M$50,$E$8:$G$32,3,0))))/SUMPRODUCT(($G$8:$G$32&gt;0)*($G$8:$G$32))</f>
        <v>2458324.1108334693</v>
      </c>
      <c r="N53" s="119" cm="1">
        <f t="array" ref="N53">(VLOOKUP($B53,$E$8:$G$32,3,0)*(-(VLOOKUP(N$50,$E$8:$G$32,3,0))))/SUMPRODUCT(($G$8:$G$32&gt;0)*($G$8:$G$32))</f>
        <v>17126015.935598351</v>
      </c>
      <c r="O53" s="119" cm="1">
        <f t="array" ref="O53">(VLOOKUP($B53,$E$8:$G$32,3,0)*(-(VLOOKUP(O$50,$E$8:$G$32,3,0))))/SUMPRODUCT(($G$8:$G$32&gt;0)*($G$8:$G$32))</f>
        <v>160243.10487969301</v>
      </c>
      <c r="P53" s="120">
        <f t="shared" si="1"/>
        <v>883889422.61170673</v>
      </c>
    </row>
    <row r="54" spans="2:17" x14ac:dyDescent="0.3">
      <c r="B54" s="81" t="s">
        <v>30</v>
      </c>
      <c r="C54" s="119" cm="1">
        <f t="array" ref="C54">(VLOOKUP($B54,$E$8:$G$32,3,0)*(-(VLOOKUP(C$50,$E$8:$G$32,3,0))))/SUMPRODUCT(($G$8:$G$32&gt;0)*($G$8:$G$32))</f>
        <v>3058.7785905545607</v>
      </c>
      <c r="D54" s="119" cm="1">
        <f t="array" ref="D54">(VLOOKUP($B54,$E$8:$G$32,3,0)*(-(VLOOKUP(D$50,$E$8:$G$32,3,0))))/SUMPRODUCT(($G$8:$G$32&gt;0)*($G$8:$G$32))</f>
        <v>386267.85209312255</v>
      </c>
      <c r="E54" s="119" cm="1">
        <f t="array" ref="E54">(VLOOKUP($B54,$E$8:$G$32,3,0)*(-(VLOOKUP(E$50,$E$8:$G$32,3,0))))/SUMPRODUCT(($G$8:$G$32&gt;0)*($G$8:$G$32))</f>
        <v>6335990.5955366166</v>
      </c>
      <c r="F54" s="119" cm="1">
        <f t="array" ref="F54">(VLOOKUP($B54,$E$8:$G$32,3,0)*(-(VLOOKUP(F$50,$E$8:$G$32,3,0))))/SUMPRODUCT(($G$8:$G$32&gt;0)*($G$8:$G$32))</f>
        <v>91911.862656400612</v>
      </c>
      <c r="G54" s="119" cm="1">
        <f t="array" ref="G54">(VLOOKUP($B54,$E$8:$G$32,3,0)*(-(VLOOKUP(G$50,$E$8:$G$32,3,0))))/SUMPRODUCT(($G$8:$G$32&gt;0)*($G$8:$G$32))</f>
        <v>95556.713819027675</v>
      </c>
      <c r="H54" s="119" cm="1">
        <f t="array" ref="H54">(VLOOKUP($B54,$E$8:$G$32,3,0)*(-(VLOOKUP(H$50,$E$8:$G$32,3,0))))/SUMPRODUCT(($G$8:$G$32&gt;0)*($G$8:$G$32))</f>
        <v>1465858.3070904517</v>
      </c>
      <c r="I54" s="119" cm="1">
        <f t="array" ref="I54">(VLOOKUP($B54,$E$8:$G$32,3,0)*(-(VLOOKUP(I$50,$E$8:$G$32,3,0))))/SUMPRODUCT(($G$8:$G$32&gt;0)*($G$8:$G$32))</f>
        <v>3810936.9217372262</v>
      </c>
      <c r="J54" s="119" cm="1">
        <f t="array" ref="J54">(VLOOKUP($B54,$E$8:$G$32,3,0)*(-(VLOOKUP(J$50,$E$8:$G$32,3,0))))/SUMPRODUCT(($G$8:$G$32&gt;0)*($G$8:$G$32))</f>
        <v>4964715.6421364695</v>
      </c>
      <c r="K54" s="119" cm="1">
        <f t="array" ref="K54">(VLOOKUP($B54,$E$8:$G$32,3,0)*(-(VLOOKUP(K$50,$E$8:$G$32,3,0))))/SUMPRODUCT(($G$8:$G$32&gt;0)*($G$8:$G$32))</f>
        <v>975733.54437576688</v>
      </c>
      <c r="L54" s="119" cm="1">
        <f t="array" ref="L54">(VLOOKUP($B54,$E$8:$G$32,3,0)*(-(VLOOKUP(L$50,$E$8:$G$32,3,0))))/SUMPRODUCT(($G$8:$G$32&gt;0)*($G$8:$G$32))</f>
        <v>251929.46518127149</v>
      </c>
      <c r="M54" s="119" cm="1">
        <f t="array" ref="M54">(VLOOKUP($B54,$E$8:$G$32,3,0)*(-(VLOOKUP(M$50,$E$8:$G$32,3,0))))/SUMPRODUCT(($G$8:$G$32&gt;0)*($G$8:$G$32))</f>
        <v>52293.10253341154</v>
      </c>
      <c r="N54" s="119" cm="1">
        <f t="array" ref="N54">(VLOOKUP($B54,$E$8:$G$32,3,0)*(-(VLOOKUP(N$50,$E$8:$G$32,3,0))))/SUMPRODUCT(($G$8:$G$32&gt;0)*($G$8:$G$32))</f>
        <v>364302.04762766208</v>
      </c>
      <c r="O54" s="119" cm="1">
        <f t="array" ref="O54">(VLOOKUP($B54,$E$8:$G$32,3,0)*(-(VLOOKUP(O$50,$E$8:$G$32,3,0))))/SUMPRODUCT(($G$8:$G$32&gt;0)*($G$8:$G$32))</f>
        <v>3408.6673424461446</v>
      </c>
      <c r="P54" s="120">
        <f t="shared" si="1"/>
        <v>18801963.500720426</v>
      </c>
    </row>
    <row r="55" spans="2:17" x14ac:dyDescent="0.3">
      <c r="B55" s="81" t="s">
        <v>31</v>
      </c>
      <c r="C55" s="119" cm="1">
        <f t="array" ref="C55">(VLOOKUP($B55,$E$8:$G$32,3,0)*(-(VLOOKUP(C$50,$E$8:$G$32,3,0))))/SUMPRODUCT(($G$8:$G$32&gt;0)*($G$8:$G$32))</f>
        <v>3578.3931507549896</v>
      </c>
      <c r="D55" s="119" cm="1">
        <f t="array" ref="D55">(VLOOKUP($B55,$E$8:$G$32,3,0)*(-(VLOOKUP(D$50,$E$8:$G$32,3,0))))/SUMPRODUCT(($G$8:$G$32&gt;0)*($G$8:$G$32))</f>
        <v>451885.67768688127</v>
      </c>
      <c r="E55" s="119" cm="1">
        <f t="array" ref="E55">(VLOOKUP($B55,$E$8:$G$32,3,0)*(-(VLOOKUP(E$50,$E$8:$G$32,3,0))))/SUMPRODUCT(($G$8:$G$32&gt;0)*($G$8:$G$32))</f>
        <v>7412326.4169328697</v>
      </c>
      <c r="F55" s="119" cm="1">
        <f t="array" ref="F55">(VLOOKUP($B55,$E$8:$G$32,3,0)*(-(VLOOKUP(F$50,$E$8:$G$32,3,0))))/SUMPRODUCT(($G$8:$G$32&gt;0)*($G$8:$G$32))</f>
        <v>107525.52695982087</v>
      </c>
      <c r="G55" s="119" cm="1">
        <f t="array" ref="G55">(VLOOKUP($B55,$E$8:$G$32,3,0)*(-(VLOOKUP(G$50,$E$8:$G$32,3,0))))/SUMPRODUCT(($G$8:$G$32&gt;0)*($G$8:$G$32))</f>
        <v>111789.55263207502</v>
      </c>
      <c r="H55" s="119" cm="1">
        <f t="array" ref="H55">(VLOOKUP($B55,$E$8:$G$32,3,0)*(-(VLOOKUP(H$50,$E$8:$G$32,3,0))))/SUMPRODUCT(($G$8:$G$32&gt;0)*($G$8:$G$32))</f>
        <v>1714873.1661283062</v>
      </c>
      <c r="I55" s="119" cm="1">
        <f t="array" ref="I55">(VLOOKUP($B55,$E$8:$G$32,3,0)*(-(VLOOKUP(I$50,$E$8:$G$32,3,0))))/SUMPRODUCT(($G$8:$G$32&gt;0)*($G$8:$G$32))</f>
        <v>4458325.4965935219</v>
      </c>
      <c r="J55" s="119" cm="1">
        <f t="array" ref="J55">(VLOOKUP($B55,$E$8:$G$32,3,0)*(-(VLOOKUP(J$50,$E$8:$G$32,3,0))))/SUMPRODUCT(($G$8:$G$32&gt;0)*($G$8:$G$32))</f>
        <v>5808104.0923090661</v>
      </c>
      <c r="K55" s="119" cm="1">
        <f t="array" ref="K55">(VLOOKUP($B55,$E$8:$G$32,3,0)*(-(VLOOKUP(K$50,$E$8:$G$32,3,0))))/SUMPRODUCT(($G$8:$G$32&gt;0)*($G$8:$G$32))</f>
        <v>1141487.7307360484</v>
      </c>
      <c r="L55" s="119" cm="1">
        <f t="array" ref="L55">(VLOOKUP($B55,$E$8:$G$32,3,0)*(-(VLOOKUP(L$50,$E$8:$G$32,3,0))))/SUMPRODUCT(($G$8:$G$32&gt;0)*($G$8:$G$32))</f>
        <v>294726.35759314173</v>
      </c>
      <c r="M55" s="119" cm="1">
        <f t="array" ref="M55">(VLOOKUP($B55,$E$8:$G$32,3,0)*(-(VLOOKUP(M$50,$E$8:$G$32,3,0))))/SUMPRODUCT(($G$8:$G$32&gt;0)*($G$8:$G$32))</f>
        <v>61176.471064341466</v>
      </c>
      <c r="N55" s="119" cm="1">
        <f t="array" ref="N55">(VLOOKUP($B55,$E$8:$G$32,3,0)*(-(VLOOKUP(N$50,$E$8:$G$32,3,0))))/SUMPRODUCT(($G$8:$G$32&gt;0)*($G$8:$G$32))</f>
        <v>426188.39953384682</v>
      </c>
      <c r="O55" s="119" cm="1">
        <f t="array" ref="O55">(VLOOKUP($B55,$E$8:$G$32,3,0)*(-(VLOOKUP(O$50,$E$8:$G$32,3,0))))/SUMPRODUCT(($G$8:$G$32&gt;0)*($G$8:$G$32))</f>
        <v>3987.7197745130238</v>
      </c>
      <c r="P55" s="120">
        <f t="shared" si="1"/>
        <v>21995975.001095183</v>
      </c>
    </row>
    <row r="56" spans="2:17" x14ac:dyDescent="0.3">
      <c r="B56" s="81" t="s">
        <v>33</v>
      </c>
      <c r="C56" s="119" cm="1">
        <f t="array" ref="C56">(VLOOKUP($B56,$E$8:$G$32,3,0)*(-(VLOOKUP(C$50,$E$8:$G$32,3,0))))/SUMPRODUCT(($G$8:$G$32&gt;0)*($G$8:$G$32))</f>
        <v>481.37169013391645</v>
      </c>
      <c r="D56" s="119" cm="1">
        <f t="array" ref="D56">(VLOOKUP($B56,$E$8:$G$32,3,0)*(-(VLOOKUP(D$50,$E$8:$G$32,3,0))))/SUMPRODUCT(($G$8:$G$32&gt;0)*($G$8:$G$32))</f>
        <v>60788.449801707669</v>
      </c>
      <c r="E56" s="119" cm="1">
        <f t="array" ref="E56">(VLOOKUP($B56,$E$8:$G$32,3,0)*(-(VLOOKUP(E$50,$E$8:$G$32,3,0))))/SUMPRODUCT(($G$8:$G$32&gt;0)*($G$8:$G$32))</f>
        <v>997119.08245477092</v>
      </c>
      <c r="F56" s="119" cm="1">
        <f t="array" ref="F56">(VLOOKUP($B56,$E$8:$G$32,3,0)*(-(VLOOKUP(F$50,$E$8:$G$32,3,0))))/SUMPRODUCT(($G$8:$G$32&gt;0)*($G$8:$G$32))</f>
        <v>14464.521494589941</v>
      </c>
      <c r="G56" s="119" cm="1">
        <f t="array" ref="G56">(VLOOKUP($B56,$E$8:$G$32,3,0)*(-(VLOOKUP(G$50,$E$8:$G$32,3,0))))/SUMPRODUCT(($G$8:$G$32&gt;0)*($G$8:$G$32))</f>
        <v>15038.125667791068</v>
      </c>
      <c r="H56" s="119" cm="1">
        <f t="array" ref="H56">(VLOOKUP($B56,$E$8:$G$32,3,0)*(-(VLOOKUP(H$50,$E$8:$G$32,3,0))))/SUMPRODUCT(($G$8:$G$32&gt;0)*($G$8:$G$32))</f>
        <v>230687.73037705943</v>
      </c>
      <c r="I56" s="119" cm="1">
        <f t="array" ref="I56">(VLOOKUP($B56,$E$8:$G$32,3,0)*(-(VLOOKUP(I$50,$E$8:$G$32,3,0))))/SUMPRODUCT(($G$8:$G$32&gt;0)*($G$8:$G$32))</f>
        <v>599741.72458092181</v>
      </c>
      <c r="J56" s="119" cm="1">
        <f t="array" ref="J56">(VLOOKUP($B56,$E$8:$G$32,3,0)*(-(VLOOKUP(J$50,$E$8:$G$32,3,0))))/SUMPRODUCT(($G$8:$G$32&gt;0)*($G$8:$G$32))</f>
        <v>781316.29633782583</v>
      </c>
      <c r="K56" s="119" cm="1">
        <f t="array" ref="K56">(VLOOKUP($B56,$E$8:$G$32,3,0)*(-(VLOOKUP(K$50,$E$8:$G$32,3,0))))/SUMPRODUCT(($G$8:$G$32&gt;0)*($G$8:$G$32))</f>
        <v>153554.92117896775</v>
      </c>
      <c r="L56" s="119" cm="1">
        <f t="array" ref="L56">(VLOOKUP($B56,$E$8:$G$32,3,0)*(-(VLOOKUP(L$50,$E$8:$G$32,3,0))))/SUMPRODUCT(($G$8:$G$32&gt;0)*($G$8:$G$32))</f>
        <v>39647.103854893787</v>
      </c>
      <c r="M56" s="119" cm="1">
        <f t="array" ref="M56">(VLOOKUP($B56,$E$8:$G$32,3,0)*(-(VLOOKUP(M$50,$E$8:$G$32,3,0))))/SUMPRODUCT(($G$8:$G$32&gt;0)*($G$8:$G$32))</f>
        <v>8229.5656268114217</v>
      </c>
      <c r="N56" s="119" cm="1">
        <f t="array" ref="N56">(VLOOKUP($B56,$E$8:$G$32,3,0)*(-(VLOOKUP(N$50,$E$8:$G$32,3,0))))/SUMPRODUCT(($G$8:$G$32&gt;0)*($G$8:$G$32))</f>
        <v>57331.607108568242</v>
      </c>
      <c r="O56" s="119" cm="1">
        <f t="array" ref="O56">(VLOOKUP($B56,$E$8:$G$32,3,0)*(-(VLOOKUP(O$50,$E$8:$G$32,3,0))))/SUMPRODUCT(($G$8:$G$32&gt;0)*($G$8:$G$32))</f>
        <v>536.43502174510127</v>
      </c>
      <c r="P56" s="120">
        <f t="shared" si="1"/>
        <v>2958936.9351957864</v>
      </c>
    </row>
    <row r="57" spans="2:17" x14ac:dyDescent="0.3">
      <c r="B57" s="81" t="s">
        <v>38</v>
      </c>
      <c r="C57" s="119" cm="1">
        <f t="array" ref="C57">(VLOOKUP($B57,$E$8:$G$32,3,0)*(-(VLOOKUP(C$50,$E$8:$G$32,3,0))))/SUMPRODUCT(($G$8:$G$32&gt;0)*($G$8:$G$32))</f>
        <v>571.14098149549739</v>
      </c>
      <c r="D57" s="119" cm="1">
        <f t="array" ref="D57">(VLOOKUP($B57,$E$8:$G$32,3,0)*(-(VLOOKUP(D$50,$E$8:$G$32,3,0))))/SUMPRODUCT(($G$8:$G$32&gt;0)*($G$8:$G$32))</f>
        <v>72124.671215456023</v>
      </c>
      <c r="E57" s="119" cm="1">
        <f t="array" ref="E57">(VLOOKUP($B57,$E$8:$G$32,3,0)*(-(VLOOKUP(E$50,$E$8:$G$32,3,0))))/SUMPRODUCT(($G$8:$G$32&gt;0)*($G$8:$G$32))</f>
        <v>1183068.2673978508</v>
      </c>
      <c r="F57" s="119" cm="1">
        <f t="array" ref="F57">(VLOOKUP($B57,$E$8:$G$32,3,0)*(-(VLOOKUP(F$50,$E$8:$G$32,3,0))))/SUMPRODUCT(($G$8:$G$32&gt;0)*($G$8:$G$32))</f>
        <v>17161.958570900893</v>
      </c>
      <c r="G57" s="119" cm="1">
        <f t="array" ref="G57">(VLOOKUP($B57,$E$8:$G$32,3,0)*(-(VLOOKUP(G$50,$E$8:$G$32,3,0))))/SUMPRODUCT(($G$8:$G$32&gt;0)*($G$8:$G$32))</f>
        <v>17842.532142605673</v>
      </c>
      <c r="H57" s="119" cm="1">
        <f t="array" ref="H57">(VLOOKUP($B57,$E$8:$G$32,3,0)*(-(VLOOKUP(H$50,$E$8:$G$32,3,0))))/SUMPRODUCT(($G$8:$G$32&gt;0)*($G$8:$G$32))</f>
        <v>273707.86327269976</v>
      </c>
      <c r="I57" s="119" cm="1">
        <f t="array" ref="I57">(VLOOKUP($B57,$E$8:$G$32,3,0)*(-(VLOOKUP(I$50,$E$8:$G$32,3,0))))/SUMPRODUCT(($G$8:$G$32&gt;0)*($G$8:$G$32))</f>
        <v>711585.42191306886</v>
      </c>
      <c r="J57" s="119" cm="1">
        <f t="array" ref="J57">(VLOOKUP($B57,$E$8:$G$32,3,0)*(-(VLOOKUP(J$50,$E$8:$G$32,3,0))))/SUMPRODUCT(($G$8:$G$32&gt;0)*($G$8:$G$32))</f>
        <v>927021.18860514916</v>
      </c>
      <c r="K57" s="119" cm="1">
        <f t="array" ref="K57">(VLOOKUP($B57,$E$8:$G$32,3,0)*(-(VLOOKUP(K$50,$E$8:$G$32,3,0))))/SUMPRODUCT(($G$8:$G$32&gt;0)*($G$8:$G$32))</f>
        <v>182190.83131212188</v>
      </c>
      <c r="L57" s="119" cm="1">
        <f t="array" ref="L57">(VLOOKUP($B57,$E$8:$G$32,3,0)*(-(VLOOKUP(L$50,$E$8:$G$32,3,0))))/SUMPRODUCT(($G$8:$G$32&gt;0)*($G$8:$G$32))</f>
        <v>47040.750989819171</v>
      </c>
      <c r="M57" s="119" cm="1">
        <f t="array" ref="M57">(VLOOKUP($B57,$E$8:$G$32,3,0)*(-(VLOOKUP(M$50,$E$8:$G$32,3,0))))/SUMPRODUCT(($G$8:$G$32&gt;0)*($G$8:$G$32))</f>
        <v>9764.2679985420164</v>
      </c>
      <c r="N57" s="119" cm="1">
        <f t="array" ref="N57">(VLOOKUP($B57,$E$8:$G$32,3,0)*(-(VLOOKUP(N$50,$E$8:$G$32,3,0))))/SUMPRODUCT(($G$8:$G$32&gt;0)*($G$8:$G$32))</f>
        <v>68023.1742452334</v>
      </c>
      <c r="O57" s="119" cm="1">
        <f t="array" ref="O57">(VLOOKUP($B57,$E$8:$G$32,3,0)*(-(VLOOKUP(O$50,$E$8:$G$32,3,0))))/SUMPRODUCT(($G$8:$G$32&gt;0)*($G$8:$G$32))</f>
        <v>636.47287762772555</v>
      </c>
      <c r="P57" s="120">
        <f t="shared" si="1"/>
        <v>3510738.5415225704</v>
      </c>
    </row>
    <row r="58" spans="2:17" x14ac:dyDescent="0.3">
      <c r="B58" s="81" t="s">
        <v>40</v>
      </c>
      <c r="C58" s="119" cm="1">
        <f t="array" ref="C58">(VLOOKUP($B58,$E$8:$G$32,3,0)*(-(VLOOKUP(C$50,$E$8:$G$32,3,0))))/SUMPRODUCT(($G$8:$G$32&gt;0)*($G$8:$G$32))</f>
        <v>609.61964748974799</v>
      </c>
      <c r="D58" s="119" cm="1">
        <f t="array" ref="D58">(VLOOKUP($B58,$E$8:$G$32,3,0)*(-(VLOOKUP(D$50,$E$8:$G$32,3,0))))/SUMPRODUCT(($G$8:$G$32&gt;0)*($G$8:$G$32))</f>
        <v>76983.823725188078</v>
      </c>
      <c r="E58" s="119" cm="1">
        <f t="array" ref="E58">(VLOOKUP($B58,$E$8:$G$32,3,0)*(-(VLOOKUP(E$50,$E$8:$G$32,3,0))))/SUMPRODUCT(($G$8:$G$32&gt;0)*($G$8:$G$32))</f>
        <v>1262773.436847257</v>
      </c>
      <c r="F58" s="119" cm="1">
        <f t="array" ref="F58">(VLOOKUP($B58,$E$8:$G$32,3,0)*(-(VLOOKUP(F$50,$E$8:$G$32,3,0))))/SUMPRODUCT(($G$8:$G$32&gt;0)*($G$8:$G$32))</f>
        <v>18318.186705551161</v>
      </c>
      <c r="G58" s="119" cm="1">
        <f t="array" ref="G58">(VLOOKUP($B58,$E$8:$G$32,3,0)*(-(VLOOKUP(G$50,$E$8:$G$32,3,0))))/SUMPRODUCT(($G$8:$G$32&gt;0)*($G$8:$G$32))</f>
        <v>19044.611588926087</v>
      </c>
      <c r="H58" s="119" cm="1">
        <f t="array" ref="H58">(VLOOKUP($B58,$E$8:$G$32,3,0)*(-(VLOOKUP(H$50,$E$8:$G$32,3,0))))/SUMPRODUCT(($G$8:$G$32&gt;0)*($G$8:$G$32))</f>
        <v>292147.9924038524</v>
      </c>
      <c r="I58" s="119" cm="1">
        <f t="array" ref="I58">(VLOOKUP($B58,$E$8:$G$32,3,0)*(-(VLOOKUP(I$50,$E$8:$G$32,3,0))))/SUMPRODUCT(($G$8:$G$32&gt;0)*($G$8:$G$32))</f>
        <v>759526.05069525808</v>
      </c>
      <c r="J58" s="119" cm="1">
        <f t="array" ref="J58">(VLOOKUP($B58,$E$8:$G$32,3,0)*(-(VLOOKUP(J$50,$E$8:$G$32,3,0))))/SUMPRODUCT(($G$8:$G$32&gt;0)*($G$8:$G$32))</f>
        <v>989476.06374391029</v>
      </c>
      <c r="K58" s="119" cm="1">
        <f t="array" ref="K58">(VLOOKUP($B58,$E$8:$G$32,3,0)*(-(VLOOKUP(K$50,$E$8:$G$32,3,0))))/SUMPRODUCT(($G$8:$G$32&gt;0)*($G$8:$G$32))</f>
        <v>194465.31409729616</v>
      </c>
      <c r="L58" s="119" cm="1">
        <f t="array" ref="L58">(VLOOKUP($B58,$E$8:$G$32,3,0)*(-(VLOOKUP(L$50,$E$8:$G$32,3,0))))/SUMPRODUCT(($G$8:$G$32&gt;0)*($G$8:$G$32))</f>
        <v>50209.960351606554</v>
      </c>
      <c r="M58" s="119" cm="1">
        <f t="array" ref="M58">(VLOOKUP($B58,$E$8:$G$32,3,0)*(-(VLOOKUP(M$50,$E$8:$G$32,3,0))))/SUMPRODUCT(($G$8:$G$32&gt;0)*($G$8:$G$32))</f>
        <v>10422.102087089572</v>
      </c>
      <c r="N58" s="119" cm="1">
        <f t="array" ref="N58">(VLOOKUP($B58,$E$8:$G$32,3,0)*(-(VLOOKUP(N$50,$E$8:$G$32,3,0))))/SUMPRODUCT(($G$8:$G$32&gt;0)*($G$8:$G$32))</f>
        <v>72606.002454824396</v>
      </c>
      <c r="O58" s="119" cm="1">
        <f t="array" ref="O58">(VLOOKUP($B58,$E$8:$G$32,3,0)*(-(VLOOKUP(O$50,$E$8:$G$32,3,0))))/SUMPRODUCT(($G$8:$G$32&gt;0)*($G$8:$G$32))</f>
        <v>679.35305619328687</v>
      </c>
      <c r="P58" s="120">
        <f t="shared" si="1"/>
        <v>3747262.5174044427</v>
      </c>
    </row>
    <row r="59" spans="2:17" x14ac:dyDescent="0.3">
      <c r="B59" s="81" t="s">
        <v>41</v>
      </c>
      <c r="C59" s="119" cm="1">
        <f t="array" ref="C59">(VLOOKUP($B59,$E$8:$G$32,3,0)*(-(VLOOKUP(C$50,$E$8:$G$32,3,0))))/SUMPRODUCT(($G$8:$G$32&gt;0)*($G$8:$G$32))</f>
        <v>2460.5407671472381</v>
      </c>
      <c r="D59" s="119" cm="1">
        <f t="array" ref="D59">(VLOOKUP($B59,$E$8:$G$32,3,0)*(-(VLOOKUP(D$50,$E$8:$G$32,3,0))))/SUMPRODUCT(($G$8:$G$32&gt;0)*($G$8:$G$32))</f>
        <v>310721.34480358521</v>
      </c>
      <c r="E59" s="119" cm="1">
        <f t="array" ref="E59">(VLOOKUP($B59,$E$8:$G$32,3,0)*(-(VLOOKUP(E$50,$E$8:$G$32,3,0))))/SUMPRODUCT(($G$8:$G$32&gt;0)*($G$8:$G$32))</f>
        <v>5096793.6053694151</v>
      </c>
      <c r="F59" s="119" cm="1">
        <f t="array" ref="F59">(VLOOKUP($B59,$E$8:$G$32,3,0)*(-(VLOOKUP(F$50,$E$8:$G$32,3,0))))/SUMPRODUCT(($G$8:$G$32&gt;0)*($G$8:$G$32))</f>
        <v>73935.683265492524</v>
      </c>
      <c r="G59" s="119" cm="1">
        <f t="array" ref="G59">(VLOOKUP($B59,$E$8:$G$32,3,0)*(-(VLOOKUP(G$50,$E$8:$G$32,3,0))))/SUMPRODUCT(($G$8:$G$32&gt;0)*($G$8:$G$32))</f>
        <v>76867.672165742377</v>
      </c>
      <c r="H59" s="119" cm="1">
        <f t="array" ref="H59">(VLOOKUP($B59,$E$8:$G$32,3,0)*(-(VLOOKUP(H$50,$E$8:$G$32,3,0))))/SUMPRODUCT(($G$8:$G$32&gt;0)*($G$8:$G$32))</f>
        <v>1179164.8256579349</v>
      </c>
      <c r="I59" s="119" cm="1">
        <f t="array" ref="I59">(VLOOKUP($B59,$E$8:$G$32,3,0)*(-(VLOOKUP(I$50,$E$8:$G$32,3,0))))/SUMPRODUCT(($G$8:$G$32&gt;0)*($G$8:$G$32))</f>
        <v>3065591.5030649519</v>
      </c>
      <c r="J59" s="119" cm="1">
        <f t="array" ref="J59">(VLOOKUP($B59,$E$8:$G$32,3,0)*(-(VLOOKUP(J$50,$E$8:$G$32,3,0))))/SUMPRODUCT(($G$8:$G$32&gt;0)*($G$8:$G$32))</f>
        <v>3993713.4621292115</v>
      </c>
      <c r="K59" s="119" cm="1">
        <f t="array" ref="K59">(VLOOKUP($B59,$E$8:$G$32,3,0)*(-(VLOOKUP(K$50,$E$8:$G$32,3,0))))/SUMPRODUCT(($G$8:$G$32&gt;0)*($G$8:$G$32))</f>
        <v>784898.96955057792</v>
      </c>
      <c r="L59" s="119" cm="1">
        <f t="array" ref="L59">(VLOOKUP($B59,$E$8:$G$32,3,0)*(-(VLOOKUP(L$50,$E$8:$G$32,3,0))))/SUMPRODUCT(($G$8:$G$32&gt;0)*($G$8:$G$32))</f>
        <v>202656.94334277845</v>
      </c>
      <c r="M59" s="119" cm="1">
        <f t="array" ref="M59">(VLOOKUP($B59,$E$8:$G$32,3,0)*(-(VLOOKUP(M$50,$E$8:$G$32,3,0))))/SUMPRODUCT(($G$8:$G$32&gt;0)*($G$8:$G$32))</f>
        <v>42065.5849434142</v>
      </c>
      <c r="N59" s="119" cm="1">
        <f t="array" ref="N59">(VLOOKUP($B59,$E$8:$G$32,3,0)*(-(VLOOKUP(N$50,$E$8:$G$32,3,0))))/SUMPRODUCT(($G$8:$G$32&gt;0)*($G$8:$G$32))</f>
        <v>293051.62606769864</v>
      </c>
      <c r="O59" s="119" cm="1">
        <f t="array" ref="O59">(VLOOKUP($B59,$E$8:$G$32,3,0)*(-(VLOOKUP(O$50,$E$8:$G$32,3,0))))/SUMPRODUCT(($G$8:$G$32&gt;0)*($G$8:$G$32))</f>
        <v>2741.9980588433409</v>
      </c>
      <c r="P59" s="120">
        <f t="shared" si="1"/>
        <v>15124663.759186791</v>
      </c>
    </row>
    <row r="60" spans="2:17" x14ac:dyDescent="0.3">
      <c r="B60" s="81" t="s">
        <v>43</v>
      </c>
      <c r="C60" s="119" cm="1">
        <f t="array" ref="C60">(VLOOKUP($B60,$E$8:$G$32,3,0)*(-(VLOOKUP(C$50,$E$8:$G$32,3,0))))/SUMPRODUCT(($G$8:$G$32&gt;0)*($G$8:$G$32))</f>
        <v>1056.120712456496</v>
      </c>
      <c r="D60" s="119" cm="1">
        <f t="array" ref="D60">(VLOOKUP($B60,$E$8:$G$32,3,0)*(-(VLOOKUP(D$50,$E$8:$G$32,3,0))))/SUMPRODUCT(($G$8:$G$32&gt;0)*($G$8:$G$32))</f>
        <v>133368.75065470755</v>
      </c>
      <c r="E60" s="119" cm="1">
        <f t="array" ref="E60">(VLOOKUP($B60,$E$8:$G$32,3,0)*(-(VLOOKUP(E$50,$E$8:$G$32,3,0))))/SUMPRODUCT(($G$8:$G$32&gt;0)*($G$8:$G$32))</f>
        <v>2187661.0888212733</v>
      </c>
      <c r="F60" s="119" cm="1">
        <f t="array" ref="F60">(VLOOKUP($B60,$E$8:$G$32,3,0)*(-(VLOOKUP(F$50,$E$8:$G$32,3,0))))/SUMPRODUCT(($G$8:$G$32&gt;0)*($G$8:$G$32))</f>
        <v>31734.896462147168</v>
      </c>
      <c r="G60" s="119" cm="1">
        <f t="array" ref="G60">(VLOOKUP($B60,$E$8:$G$32,3,0)*(-(VLOOKUP(G$50,$E$8:$G$32,3,0))))/SUMPRODUCT(($G$8:$G$32&gt;0)*($G$8:$G$32))</f>
        <v>32993.37356099912</v>
      </c>
      <c r="H60" s="119" cm="1">
        <f t="array" ref="H60">(VLOOKUP($B60,$E$8:$G$32,3,0)*(-(VLOOKUP(H$50,$E$8:$G$32,3,0))))/SUMPRODUCT(($G$8:$G$32&gt;0)*($G$8:$G$32))</f>
        <v>506124.67487029335</v>
      </c>
      <c r="I60" s="119" cm="1">
        <f t="array" ref="I60">(VLOOKUP($B60,$E$8:$G$32,3,0)*(-(VLOOKUP(I$50,$E$8:$G$32,3,0))))/SUMPRODUCT(($G$8:$G$32&gt;0)*($G$8:$G$32))</f>
        <v>1315822.4100758405</v>
      </c>
      <c r="J60" s="119" cm="1">
        <f t="array" ref="J60">(VLOOKUP($B60,$E$8:$G$32,3,0)*(-(VLOOKUP(J$50,$E$8:$G$32,3,0))))/SUMPRODUCT(($G$8:$G$32&gt;0)*($G$8:$G$32))</f>
        <v>1714193.7102961263</v>
      </c>
      <c r="K60" s="119" cm="1">
        <f t="array" ref="K60">(VLOOKUP($B60,$E$8:$G$32,3,0)*(-(VLOOKUP(K$50,$E$8:$G$32,3,0))))/SUMPRODUCT(($G$8:$G$32&gt;0)*($G$8:$G$32))</f>
        <v>336896.69766748545</v>
      </c>
      <c r="L60" s="119" cm="1">
        <f t="array" ref="L60">(VLOOKUP($B60,$E$8:$G$32,3,0)*(-(VLOOKUP(L$50,$E$8:$G$32,3,0))))/SUMPRODUCT(($G$8:$G$32&gt;0)*($G$8:$G$32))</f>
        <v>86985.023066932728</v>
      </c>
      <c r="M60" s="119" cm="1">
        <f t="array" ref="M60">(VLOOKUP($B60,$E$8:$G$32,3,0)*(-(VLOOKUP(M$50,$E$8:$G$32,3,0))))/SUMPRODUCT(($G$8:$G$32&gt;0)*($G$8:$G$32))</f>
        <v>18055.516955260991</v>
      </c>
      <c r="N60" s="119" cm="1">
        <f t="array" ref="N60">(VLOOKUP($B60,$E$8:$G$32,3,0)*(-(VLOOKUP(N$50,$E$8:$G$32,3,0))))/SUMPRODUCT(($G$8:$G$32&gt;0)*($G$8:$G$32))</f>
        <v>125784.50080629459</v>
      </c>
      <c r="O60" s="119" cm="1">
        <f t="array" ref="O60">(VLOOKUP($B60,$E$8:$G$32,3,0)*(-(VLOOKUP(O$50,$E$8:$G$32,3,0))))/SUMPRODUCT(($G$8:$G$32&gt;0)*($G$8:$G$32))</f>
        <v>1176.9286581735669</v>
      </c>
      <c r="P60" s="120">
        <f t="shared" si="1"/>
        <v>6491853.6926079895</v>
      </c>
    </row>
    <row r="61" spans="2:17" x14ac:dyDescent="0.3">
      <c r="B61" s="81" t="s">
        <v>49</v>
      </c>
      <c r="C61" s="119" cm="1">
        <f t="array" ref="C61">(VLOOKUP($B61,$E$8:$G$32,3,0)*(-(VLOOKUP(C$50,$E$8:$G$32,3,0))))/SUMPRODUCT(($G$8:$G$32&gt;0)*($G$8:$G$32))</f>
        <v>0</v>
      </c>
      <c r="D61" s="119" cm="1">
        <f t="array" ref="D61">(VLOOKUP($B61,$E$8:$G$32,3,0)*(-(VLOOKUP(D$50,$E$8:$G$32,3,0))))/SUMPRODUCT(($G$8:$G$32&gt;0)*($G$8:$G$32))</f>
        <v>0</v>
      </c>
      <c r="E61" s="119" cm="1">
        <f t="array" ref="E61">(VLOOKUP($B61,$E$8:$G$32,3,0)*(-(VLOOKUP(E$50,$E$8:$G$32,3,0))))/SUMPRODUCT(($G$8:$G$32&gt;0)*($G$8:$G$32))</f>
        <v>0</v>
      </c>
      <c r="F61" s="119" cm="1">
        <f t="array" ref="F61">(VLOOKUP($B61,$E$8:$G$32,3,0)*(-(VLOOKUP(F$50,$E$8:$G$32,3,0))))/SUMPRODUCT(($G$8:$G$32&gt;0)*($G$8:$G$32))</f>
        <v>0</v>
      </c>
      <c r="G61" s="119" cm="1">
        <f t="array" ref="G61">(VLOOKUP($B61,$E$8:$G$32,3,0)*(-(VLOOKUP(G$50,$E$8:$G$32,3,0))))/SUMPRODUCT(($G$8:$G$32&gt;0)*($G$8:$G$32))</f>
        <v>0</v>
      </c>
      <c r="H61" s="119" cm="1">
        <f t="array" ref="H61">(VLOOKUP($B61,$E$8:$G$32,3,0)*(-(VLOOKUP(H$50,$E$8:$G$32,3,0))))/SUMPRODUCT(($G$8:$G$32&gt;0)*($G$8:$G$32))</f>
        <v>0</v>
      </c>
      <c r="I61" s="119" cm="1">
        <f t="array" ref="I61">(VLOOKUP($B61,$E$8:$G$32,3,0)*(-(VLOOKUP(I$50,$E$8:$G$32,3,0))))/SUMPRODUCT(($G$8:$G$32&gt;0)*($G$8:$G$32))</f>
        <v>0</v>
      </c>
      <c r="J61" s="119" cm="1">
        <f t="array" ref="J61">(VLOOKUP($B61,$E$8:$G$32,3,0)*(-(VLOOKUP(J$50,$E$8:$G$32,3,0))))/SUMPRODUCT(($G$8:$G$32&gt;0)*($G$8:$G$32))</f>
        <v>0</v>
      </c>
      <c r="K61" s="119" cm="1">
        <f t="array" ref="K61">(VLOOKUP($B61,$E$8:$G$32,3,0)*(-(VLOOKUP(K$50,$E$8:$G$32,3,0))))/SUMPRODUCT(($G$8:$G$32&gt;0)*($G$8:$G$32))</f>
        <v>0</v>
      </c>
      <c r="L61" s="119" cm="1">
        <f t="array" ref="L61">(VLOOKUP($B61,$E$8:$G$32,3,0)*(-(VLOOKUP(L$50,$E$8:$G$32,3,0))))/SUMPRODUCT(($G$8:$G$32&gt;0)*($G$8:$G$32))</f>
        <v>0</v>
      </c>
      <c r="M61" s="119" cm="1">
        <f t="array" ref="M61">(VLOOKUP($B61,$E$8:$G$32,3,0)*(-(VLOOKUP(M$50,$E$8:$G$32,3,0))))/SUMPRODUCT(($G$8:$G$32&gt;0)*($G$8:$G$32))</f>
        <v>0</v>
      </c>
      <c r="N61" s="119" cm="1">
        <f t="array" ref="N61">(VLOOKUP($B61,$E$8:$G$32,3,0)*(-(VLOOKUP(N$50,$E$8:$G$32,3,0))))/SUMPRODUCT(($G$8:$G$32&gt;0)*($G$8:$G$32))</f>
        <v>0</v>
      </c>
      <c r="O61" s="119" cm="1">
        <f t="array" ref="O61">(VLOOKUP($B61,$E$8:$G$32,3,0)*(-(VLOOKUP(O$50,$E$8:$G$32,3,0))))/SUMPRODUCT(($G$8:$G$32&gt;0)*($G$8:$G$32))</f>
        <v>0</v>
      </c>
      <c r="P61" s="120">
        <f t="shared" si="1"/>
        <v>0</v>
      </c>
    </row>
    <row r="62" spans="2:17" x14ac:dyDescent="0.3">
      <c r="B62" s="81" t="s">
        <v>50</v>
      </c>
      <c r="C62" s="119" cm="1">
        <f t="array" ref="C62">(VLOOKUP($B62,$E$8:$G$32,3,0)*(-(VLOOKUP(C$50,$E$8:$G$32,3,0))))/SUMPRODUCT(($G$8:$G$32&gt;0)*($G$8:$G$32))</f>
        <v>0</v>
      </c>
      <c r="D62" s="119" cm="1">
        <f t="array" ref="D62">(VLOOKUP($B62,$E$8:$G$32,3,0)*(-(VLOOKUP(D$50,$E$8:$G$32,3,0))))/SUMPRODUCT(($G$8:$G$32&gt;0)*($G$8:$G$32))</f>
        <v>0</v>
      </c>
      <c r="E62" s="119" cm="1">
        <f t="array" ref="E62">(VLOOKUP($B62,$E$8:$G$32,3,0)*(-(VLOOKUP(E$50,$E$8:$G$32,3,0))))/SUMPRODUCT(($G$8:$G$32&gt;0)*($G$8:$G$32))</f>
        <v>0</v>
      </c>
      <c r="F62" s="119" cm="1">
        <f t="array" ref="F62">(VLOOKUP($B62,$E$8:$G$32,3,0)*(-(VLOOKUP(F$50,$E$8:$G$32,3,0))))/SUMPRODUCT(($G$8:$G$32&gt;0)*($G$8:$G$32))</f>
        <v>0</v>
      </c>
      <c r="G62" s="119" cm="1">
        <f t="array" ref="G62">(VLOOKUP($B62,$E$8:$G$32,3,0)*(-(VLOOKUP(G$50,$E$8:$G$32,3,0))))/SUMPRODUCT(($G$8:$G$32&gt;0)*($G$8:$G$32))</f>
        <v>0</v>
      </c>
      <c r="H62" s="119" cm="1">
        <f t="array" ref="H62">(VLOOKUP($B62,$E$8:$G$32,3,0)*(-(VLOOKUP(H$50,$E$8:$G$32,3,0))))/SUMPRODUCT(($G$8:$G$32&gt;0)*($G$8:$G$32))</f>
        <v>0</v>
      </c>
      <c r="I62" s="119" cm="1">
        <f t="array" ref="I62">(VLOOKUP($B62,$E$8:$G$32,3,0)*(-(VLOOKUP(I$50,$E$8:$G$32,3,0))))/SUMPRODUCT(($G$8:$G$32&gt;0)*($G$8:$G$32))</f>
        <v>0</v>
      </c>
      <c r="J62" s="119" cm="1">
        <f t="array" ref="J62">(VLOOKUP($B62,$E$8:$G$32,3,0)*(-(VLOOKUP(J$50,$E$8:$G$32,3,0))))/SUMPRODUCT(($G$8:$G$32&gt;0)*($G$8:$G$32))</f>
        <v>0</v>
      </c>
      <c r="K62" s="119" cm="1">
        <f t="array" ref="K62">(VLOOKUP($B62,$E$8:$G$32,3,0)*(-(VLOOKUP(K$50,$E$8:$G$32,3,0))))/SUMPRODUCT(($G$8:$G$32&gt;0)*($G$8:$G$32))</f>
        <v>0</v>
      </c>
      <c r="L62" s="119" cm="1">
        <f t="array" ref="L62">(VLOOKUP($B62,$E$8:$G$32,3,0)*(-(VLOOKUP(L$50,$E$8:$G$32,3,0))))/SUMPRODUCT(($G$8:$G$32&gt;0)*($G$8:$G$32))</f>
        <v>0</v>
      </c>
      <c r="M62" s="119" cm="1">
        <f t="array" ref="M62">(VLOOKUP($B62,$E$8:$G$32,3,0)*(-(VLOOKUP(M$50,$E$8:$G$32,3,0))))/SUMPRODUCT(($G$8:$G$32&gt;0)*($G$8:$G$32))</f>
        <v>0</v>
      </c>
      <c r="N62" s="119" cm="1">
        <f t="array" ref="N62">(VLOOKUP($B62,$E$8:$G$32,3,0)*(-(VLOOKUP(N$50,$E$8:$G$32,3,0))))/SUMPRODUCT(($G$8:$G$32&gt;0)*($G$8:$G$32))</f>
        <v>0</v>
      </c>
      <c r="O62" s="119" cm="1">
        <f t="array" ref="O62">(VLOOKUP($B62,$E$8:$G$32,3,0)*(-(VLOOKUP(O$50,$E$8:$G$32,3,0))))/SUMPRODUCT(($G$8:$G$32&gt;0)*($G$8:$G$32))</f>
        <v>0</v>
      </c>
      <c r="P62" s="120">
        <f t="shared" si="1"/>
        <v>0</v>
      </c>
    </row>
    <row r="63" spans="2:17" x14ac:dyDescent="0.3">
      <c r="B63" s="121" t="s">
        <v>52</v>
      </c>
      <c r="C63" s="122">
        <f>SUM(C51:C62)</f>
        <v>158131.23742725479</v>
      </c>
      <c r="D63" s="122">
        <f>SUM(D51:D62)</f>
        <v>19969086.228885643</v>
      </c>
      <c r="E63" s="122">
        <f>SUM(E51:E62)</f>
        <v>327554938.52793229</v>
      </c>
      <c r="F63" s="122">
        <f>SUM(F51:F62)</f>
        <v>4751614.4584578974</v>
      </c>
      <c r="G63" s="122">
        <f>SUM(G51:G62)</f>
        <v>4940044.1886659572</v>
      </c>
      <c r="H63" s="122">
        <f>SUM(H51:H62)</f>
        <v>75781224.802939638</v>
      </c>
      <c r="I63" s="122">
        <f>SUM(I51:I62)</f>
        <v>197015950.43604109</v>
      </c>
      <c r="J63" s="122">
        <f>SUM(J51:J62)</f>
        <v>256663437.61846206</v>
      </c>
      <c r="K63" s="122">
        <f>SUM(K51:K62)</f>
        <v>50442994.876411624</v>
      </c>
      <c r="L63" s="122">
        <f>SUM(L51:L62)</f>
        <v>13024126.099391291</v>
      </c>
      <c r="M63" s="122">
        <f>SUM(M51:M62)</f>
        <v>2703423.2023375928</v>
      </c>
      <c r="N63" s="122">
        <f>SUM(N51:N62)</f>
        <v>18833508.828175947</v>
      </c>
      <c r="O63" s="122">
        <f>SUM(O51:O62)</f>
        <v>176219.61475189892</v>
      </c>
      <c r="P63" s="82">
        <f>SUM(P51:P62)</f>
        <v>972014700.1198802</v>
      </c>
    </row>
    <row r="64" spans="2:17" x14ac:dyDescent="0.3">
      <c r="B64" s="50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Q64" s="17"/>
    </row>
    <row r="65" spans="2:16" x14ac:dyDescent="0.3">
      <c r="B65" s="50"/>
      <c r="C65" s="123"/>
      <c r="D65" s="123"/>
      <c r="E65" s="123"/>
      <c r="F65" s="123"/>
      <c r="G65" s="123"/>
      <c r="H65" s="50"/>
      <c r="I65" s="50"/>
      <c r="J65" s="50"/>
      <c r="K65" s="50"/>
      <c r="L65" s="50"/>
      <c r="M65" s="50"/>
      <c r="N65" s="50"/>
      <c r="O65" s="50"/>
      <c r="P65" s="84" cm="1">
        <f t="array" ref="P65">-SUMPRODUCT(($G$8:$G$32&lt;0)*($G$8:$G$32))</f>
        <v>972014700.1198802</v>
      </c>
    </row>
    <row r="66" spans="2:16" x14ac:dyDescent="0.3">
      <c r="B66" s="50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85">
        <f>P63-P65</f>
        <v>0</v>
      </c>
    </row>
    <row r="67" spans="2:16" x14ac:dyDescent="0.3">
      <c r="B67" s="50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85">
        <f>P63-J6</f>
        <v>0</v>
      </c>
    </row>
    <row r="81" spans="4:7" x14ac:dyDescent="0.3">
      <c r="D81" s="50"/>
      <c r="E81" s="50"/>
      <c r="F81" s="50"/>
      <c r="G81" s="50"/>
    </row>
  </sheetData>
  <mergeCells count="10">
    <mergeCell ref="J6:J7"/>
    <mergeCell ref="B49:B50"/>
    <mergeCell ref="C49:N49"/>
    <mergeCell ref="P49:P50"/>
    <mergeCell ref="B6:B7"/>
    <mergeCell ref="C6:C7"/>
    <mergeCell ref="E6:E7"/>
    <mergeCell ref="F6:F7"/>
    <mergeCell ref="G6:G7"/>
    <mergeCell ref="I6:I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17</vt:i4>
      </vt:variant>
    </vt:vector>
  </HeadingPairs>
  <TitlesOfParts>
    <vt:vector size="28" baseType="lpstr">
      <vt:lpstr>Entrada AR</vt:lpstr>
      <vt:lpstr>Entrada TD</vt:lpstr>
      <vt:lpstr>Entrada CDRGL</vt:lpstr>
      <vt:lpstr>Entrada 7TRAN</vt:lpstr>
      <vt:lpstr>Reliquidación TD</vt:lpstr>
      <vt:lpstr>Reliquidación AR</vt:lpstr>
      <vt:lpstr>CUADRO DE PAGO AR</vt:lpstr>
      <vt:lpstr>Reliquidación CD RGL</vt:lpstr>
      <vt:lpstr>CUADRO DE PAGO CD RGL</vt:lpstr>
      <vt:lpstr>Reliquidación 7TRAN</vt:lpstr>
      <vt:lpstr>CUADRO DE PAGO 7TRAN</vt:lpstr>
      <vt:lpstr>'Entrada 7TRAN'!DirectorioEntrada</vt:lpstr>
      <vt:lpstr>'Entrada AR'!DirectorioEntrada</vt:lpstr>
      <vt:lpstr>'Entrada CDRGL'!DirectorioEntrada</vt:lpstr>
      <vt:lpstr>'Entrada TD'!DirectorioEntrada</vt:lpstr>
      <vt:lpstr>'Entrada 7TRAN'!FechaFacturacion</vt:lpstr>
      <vt:lpstr>'Entrada AR'!FechaFacturacion</vt:lpstr>
      <vt:lpstr>'Entrada CDRGL'!FechaFacturacion</vt:lpstr>
      <vt:lpstr>'Entrada TD'!FechaFacturacion</vt:lpstr>
      <vt:lpstr>FechaFacturacion</vt:lpstr>
      <vt:lpstr>'Entrada 7TRAN'!Responsable</vt:lpstr>
      <vt:lpstr>'Entrada AR'!Responsable</vt:lpstr>
      <vt:lpstr>'Entrada CDRGL'!Responsable</vt:lpstr>
      <vt:lpstr>'Entrada TD'!Responsable</vt:lpstr>
      <vt:lpstr>'Entrada 7TRAN'!version</vt:lpstr>
      <vt:lpstr>'Entrada AR'!version</vt:lpstr>
      <vt:lpstr>'Entrada CDRGL'!version</vt:lpstr>
      <vt:lpstr>'Entrada TD'!version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Elias Nanco Mulato</dc:creator>
  <cp:lastModifiedBy>Elias Nanco Mulato</cp:lastModifiedBy>
  <dcterms:created xsi:type="dcterms:W3CDTF">2025-08-14T18:33:51Z</dcterms:created>
  <dcterms:modified xsi:type="dcterms:W3CDTF">2025-08-14T18:34:01Z</dcterms:modified>
</cp:coreProperties>
</file>